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145" activeTab="0"/>
  </bookViews>
  <sheets>
    <sheet name="návrh rozpočtu 2014" sheetId="1" r:id="rId1"/>
    <sheet name="výhled 2014_17" sheetId="2" r:id="rId2"/>
  </sheets>
  <definedNames>
    <definedName name="_xlnm.Print_Area" localSheetId="0">'návrh rozpočtu 2014'!$A$1:$N$124</definedName>
    <definedName name="_xlnm.Print_Area" localSheetId="1">'výhled 2014_17'!$A$1:$G$91</definedName>
  </definedNames>
  <calcPr fullCalcOnLoad="1"/>
</workbook>
</file>

<file path=xl/sharedStrings.xml><?xml version="1.0" encoding="utf-8"?>
<sst xmlns="http://schemas.openxmlformats.org/spreadsheetml/2006/main" count="313" uniqueCount="206">
  <si>
    <t xml:space="preserve">Příjmy - tis.Kč </t>
  </si>
  <si>
    <t>rozpočet 2012</t>
  </si>
  <si>
    <t>I.úprava</t>
  </si>
  <si>
    <t>II.úprava</t>
  </si>
  <si>
    <t>kap</t>
  </si>
  <si>
    <t>titul</t>
  </si>
  <si>
    <t>č.</t>
  </si>
  <si>
    <t>podtitul</t>
  </si>
  <si>
    <t>celkem</t>
  </si>
  <si>
    <t>I.</t>
  </si>
  <si>
    <t>DOTACE</t>
  </si>
  <si>
    <t>výkon st.správy</t>
  </si>
  <si>
    <t>knihovna - PK</t>
  </si>
  <si>
    <t>dotace z UP na mzdy</t>
  </si>
  <si>
    <t>státní správa lesů</t>
  </si>
  <si>
    <t>vzdělávací program ZŠ (EU)</t>
  </si>
  <si>
    <t>oprava kolowratské kaple</t>
  </si>
  <si>
    <t>inv.dotace</t>
  </si>
  <si>
    <t>II.</t>
  </si>
  <si>
    <t>DANĚ</t>
  </si>
  <si>
    <t>z nemovitosti</t>
  </si>
  <si>
    <t>sdílené daně</t>
  </si>
  <si>
    <t>daň z P za město</t>
  </si>
  <si>
    <t>Celkem</t>
  </si>
  <si>
    <t>III.</t>
  </si>
  <si>
    <t>Popl.správní</t>
  </si>
  <si>
    <t xml:space="preserve">evidence dopravy </t>
  </si>
  <si>
    <t>evidence obyvatel</t>
  </si>
  <si>
    <t>živnostenské</t>
  </si>
  <si>
    <t>stavební</t>
  </si>
  <si>
    <t>ostatní správní popl.</t>
  </si>
  <si>
    <t xml:space="preserve">VHP </t>
  </si>
  <si>
    <t>VHP</t>
  </si>
  <si>
    <t>Popl.místní</t>
  </si>
  <si>
    <t>ze psů</t>
  </si>
  <si>
    <t>z veřejného pr.</t>
  </si>
  <si>
    <t>vstupné, ubyt.kapacita, ost.</t>
  </si>
  <si>
    <t>likv.odpadu (občané)</t>
  </si>
  <si>
    <t>ostatní poplatky</t>
  </si>
  <si>
    <t>autoškola, ryb.lístky….</t>
  </si>
  <si>
    <t>IV.</t>
  </si>
  <si>
    <t>KAP.PŘÍJMY</t>
  </si>
  <si>
    <t>prodeje pozemků</t>
  </si>
  <si>
    <t>(prodeje)</t>
  </si>
  <si>
    <t>prodeje pozemků Hradiště II</t>
  </si>
  <si>
    <t>převod od byt.družstva Am.</t>
  </si>
  <si>
    <t>V.</t>
  </si>
  <si>
    <t>NÁJMY</t>
  </si>
  <si>
    <t>nebyt. prostory (KB)</t>
  </si>
  <si>
    <t>ost.nebyt.prostory, pozemky</t>
  </si>
  <si>
    <t>kotelny (TEBYT BTZ)</t>
  </si>
  <si>
    <t>nájem vodovodů a kanal. (ČEVAK)</t>
  </si>
  <si>
    <t>VI.</t>
  </si>
  <si>
    <t>LESY</t>
  </si>
  <si>
    <t>VII.</t>
  </si>
  <si>
    <t>BYT.HOSP - převod</t>
  </si>
  <si>
    <t>VIII.</t>
  </si>
  <si>
    <t>ZVL.PŘÍJMY</t>
  </si>
  <si>
    <t>provoz městs.busu</t>
  </si>
  <si>
    <t>odpad.hospodářství</t>
  </si>
  <si>
    <t>pokuty,sankce</t>
  </si>
  <si>
    <t>ost.nahodilé příjmy</t>
  </si>
  <si>
    <t>IX.</t>
  </si>
  <si>
    <t>FONDOVÉ HOSPODAŘENÍ (SOC.FOND)</t>
  </si>
  <si>
    <t>CELKEM PŘÍJMY PŘED KONS.</t>
  </si>
  <si>
    <t>CELKEM PŘÍJMY PO KONS.</t>
  </si>
  <si>
    <t>běžné příjmy</t>
  </si>
  <si>
    <t xml:space="preserve">Výdaje - tis.Kč </t>
  </si>
  <si>
    <t>ŠKOLSTVÍ</t>
  </si>
  <si>
    <t>ZŠ-ŠJ</t>
  </si>
  <si>
    <t>ZŠ dotace EU</t>
  </si>
  <si>
    <t>ZUŠ</t>
  </si>
  <si>
    <t>DDM</t>
  </si>
  <si>
    <t>MŠ</t>
  </si>
  <si>
    <t>MŠ-ŠJ</t>
  </si>
  <si>
    <t>SPRÁVA MĚÚ</t>
  </si>
  <si>
    <t>Měú Blovice</t>
  </si>
  <si>
    <t>Městská policie</t>
  </si>
  <si>
    <t>KULTURA/SPORT</t>
  </si>
  <si>
    <t>LD provoz + noviny</t>
  </si>
  <si>
    <t xml:space="preserve">knihovna </t>
  </si>
  <si>
    <t>knihovna nákup knih</t>
  </si>
  <si>
    <t>ost.spolky+kult.akce</t>
  </si>
  <si>
    <t>ROZVOJ MĚSTA</t>
  </si>
  <si>
    <t>výtah DPS</t>
  </si>
  <si>
    <t>ostatní investice</t>
  </si>
  <si>
    <t>ÚDRŽBA MĚSTA</t>
  </si>
  <si>
    <t>voda, kanal., plyn</t>
  </si>
  <si>
    <t>opravy MK+dopr.zn.+havárie</t>
  </si>
  <si>
    <t xml:space="preserve">úklid, zimní údržba </t>
  </si>
  <si>
    <t>zeleň, hřbitov, WC</t>
  </si>
  <si>
    <t>prac.četa města</t>
  </si>
  <si>
    <t>věř.osvětlení</t>
  </si>
  <si>
    <t>JSDH Blovice - provoz (JPOIII)</t>
  </si>
  <si>
    <t>RŮZNÉ VÝDAJE</t>
  </si>
  <si>
    <t>dopr.obslužnost+BUS</t>
  </si>
  <si>
    <t>čistírna</t>
  </si>
  <si>
    <t>úroky z úvěrů</t>
  </si>
  <si>
    <t>odvod daně Fú (DPPO+DPH)</t>
  </si>
  <si>
    <t>Mikroregion - fin.spoluúčast</t>
  </si>
  <si>
    <t>"Čistá Berounka" provoz svazku</t>
  </si>
  <si>
    <t>státní správa lesů neinv.</t>
  </si>
  <si>
    <t>drobné opravy, služby</t>
  </si>
  <si>
    <t>SOC.VĚCI</t>
  </si>
  <si>
    <t>peč.služba</t>
  </si>
  <si>
    <t>CELKEM VÝDAJE PŘED KONS.</t>
  </si>
  <si>
    <t>CELKEM VÝDAJE PO KONS.</t>
  </si>
  <si>
    <t>běžné výdaje</t>
  </si>
  <si>
    <t>saldo běžného hosp.</t>
  </si>
  <si>
    <t>HV PO KONSOLIDACI</t>
  </si>
  <si>
    <t>podíl salda na běž.příjmech</t>
  </si>
  <si>
    <t>Financování</t>
  </si>
  <si>
    <t xml:space="preserve">Přijaté úvěry </t>
  </si>
  <si>
    <t>Splátky úvěrů</t>
  </si>
  <si>
    <t>CELKEM</t>
  </si>
  <si>
    <t>Změna stavu krátk.prostředků</t>
  </si>
  <si>
    <t>Poč.stav prostř.na účtech rozp.hosp.</t>
  </si>
  <si>
    <t>tis.Kč</t>
  </si>
  <si>
    <t>Rozpuštění prostředků rozp.hosp.</t>
  </si>
  <si>
    <t>Kon.stav prostř.na účtech rozp.hosp.</t>
  </si>
  <si>
    <t>Poč.stav prostř.na fondech</t>
  </si>
  <si>
    <t>Rozpuštění prostředků fondů</t>
  </si>
  <si>
    <t xml:space="preserve">Kon.stav prostř.na fondech </t>
  </si>
  <si>
    <t>sousoší Ukřižování - SZIF</t>
  </si>
  <si>
    <t>kotelna DPS</t>
  </si>
  <si>
    <t>nevyuž.dotace 2013</t>
  </si>
  <si>
    <t xml:space="preserve">ostatní </t>
  </si>
  <si>
    <t>veřejná zeleň pro zemní val</t>
  </si>
  <si>
    <t>¨¨¨¨¨¨¨¨¨¨¨¨¨¨¨¨¨¨¨¨¨¨¨¨¨¨¨¨¨¨¨¨¨¨¨¨¨¨¨¨¨¨¨¨¨¨¨¨¨¨¨¨¨¨¨¨¨¨¨¨¨¨¨¨</t>
  </si>
  <si>
    <t>mimoř.neinv.akce</t>
  </si>
  <si>
    <t xml:space="preserve">LESY </t>
  </si>
  <si>
    <t>sběrný dvůr Blovice (spoluúčast)</t>
  </si>
  <si>
    <t>zateplení sálu LD (spoluúčast)</t>
  </si>
  <si>
    <t>zateplení sálu LD - OPŽP</t>
  </si>
  <si>
    <t>oslavy 730 let města Blovice</t>
  </si>
  <si>
    <t>úpravy pod kostelem (spoluúčast)</t>
  </si>
  <si>
    <t>optický kabel města</t>
  </si>
  <si>
    <t>prodeje staveb a ost. majetku</t>
  </si>
  <si>
    <t>výstavba sběr.dvora - OPŽP</t>
  </si>
  <si>
    <t xml:space="preserve">přírodní koupací biotop </t>
  </si>
  <si>
    <t>pojistné a bank.poplatky</t>
  </si>
  <si>
    <t>Přijaté úvěry krátkodobé</t>
  </si>
  <si>
    <t>odpadové hospodářství</t>
  </si>
  <si>
    <t>ZŠ-plavecká učebna, oprava</t>
  </si>
  <si>
    <t xml:space="preserve">Příjmy </t>
  </si>
  <si>
    <t>Dotace</t>
  </si>
  <si>
    <t>Daně</t>
  </si>
  <si>
    <t xml:space="preserve">Poplatky </t>
  </si>
  <si>
    <t>Prodeje</t>
  </si>
  <si>
    <t>Nájmy</t>
  </si>
  <si>
    <t>Lesy</t>
  </si>
  <si>
    <t>Zvl. Příjmy</t>
  </si>
  <si>
    <t>Fondové hospodaření</t>
  </si>
  <si>
    <t>CELKEM PO KONS.</t>
  </si>
  <si>
    <t xml:space="preserve">Výdaje </t>
  </si>
  <si>
    <t>Školství</t>
  </si>
  <si>
    <t>Správa MěÚ</t>
  </si>
  <si>
    <t>Kultura a sport</t>
  </si>
  <si>
    <t>Rozvoj města</t>
  </si>
  <si>
    <t>Údržba města</t>
  </si>
  <si>
    <t>Různé výdaje</t>
  </si>
  <si>
    <t>Soc.věci</t>
  </si>
  <si>
    <t xml:space="preserve">Rekapitulace financování rozpočtu </t>
  </si>
  <si>
    <t>Rok</t>
  </si>
  <si>
    <t>Příjmy celkem</t>
  </si>
  <si>
    <t>Výdaje celkem</t>
  </si>
  <si>
    <t>HV (P-V)</t>
  </si>
  <si>
    <t>Rozpuštění prostř.rozp.hosp.</t>
  </si>
  <si>
    <t>Financování celkem</t>
  </si>
  <si>
    <t>Fin.prostř.na b.ú.</t>
  </si>
  <si>
    <t>Dluhová služba v %</t>
  </si>
  <si>
    <t xml:space="preserve"> </t>
  </si>
  <si>
    <t>Objem zadluženosti v tis.Kč</t>
  </si>
  <si>
    <t>(nesplacené úvěry)</t>
  </si>
  <si>
    <t>Členění podle tříd rozpočtu:</t>
  </si>
  <si>
    <t>(tis.Kč)</t>
  </si>
  <si>
    <t>Daňové příjmy</t>
  </si>
  <si>
    <t>Nedaňové příjmy</t>
  </si>
  <si>
    <t>Kapitálové příjmy (prodeje)</t>
  </si>
  <si>
    <t>Přijaté transfery (dotace)</t>
  </si>
  <si>
    <t>Příjmy celkem po kons.</t>
  </si>
  <si>
    <t>Výdaje běžné</t>
  </si>
  <si>
    <t>Výdaje kapitálové (investice)</t>
  </si>
  <si>
    <t>Výdaje celkem po kons.</t>
  </si>
  <si>
    <t>HV (tis.Kč)</t>
  </si>
  <si>
    <t>podíl běžných výdajů na celk.výdajích</t>
  </si>
  <si>
    <t>podíl investic na celkových výdajích</t>
  </si>
  <si>
    <t>předp.2013</t>
  </si>
  <si>
    <t>BH převod</t>
  </si>
  <si>
    <t>chodník Luční (u mostu)</t>
  </si>
  <si>
    <t>kanalizace 5.května</t>
  </si>
  <si>
    <t>ZŠ Blovice - projekt ROP</t>
  </si>
  <si>
    <t>MK Hájek - ul.5.května, PD</t>
  </si>
  <si>
    <t xml:space="preserve">sousoší Ukřižování </t>
  </si>
  <si>
    <t>ovál a hřiště SOKOL (ROP)</t>
  </si>
  <si>
    <t>plynofikace Komorno (spoluúčast)</t>
  </si>
  <si>
    <t>TJ Sokol provoz a odd.nár.házená</t>
  </si>
  <si>
    <t>ZŠ provoz, projekty</t>
  </si>
  <si>
    <t>hasič.zbrojnice PD</t>
  </si>
  <si>
    <t>rozpočet 2014</t>
  </si>
  <si>
    <t>úprava rozpočtu 2014</t>
  </si>
  <si>
    <t>oprava chodby radnice</t>
  </si>
  <si>
    <t>oprava střechy a fasády radnice</t>
  </si>
  <si>
    <t>přírodní koupací biotop -ROP</t>
  </si>
  <si>
    <t>rekonstrukce ulice Branka - ROP</t>
  </si>
  <si>
    <t>150+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</si>
</sst>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56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u val="single"/>
      <sz val="10"/>
      <color indexed="8"/>
      <name val="Arial CE"/>
      <family val="0"/>
    </font>
    <font>
      <b/>
      <u val="single"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u val="single"/>
      <sz val="10"/>
      <name val="Arial CE"/>
      <family val="0"/>
    </font>
    <font>
      <b/>
      <u val="single"/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 CE"/>
      <family val="2"/>
    </font>
    <font>
      <b/>
      <sz val="12"/>
      <name val="Arial CE"/>
      <family val="0"/>
    </font>
    <font>
      <sz val="14.25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10.3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Fill="1" applyBorder="1" applyAlignment="1">
      <alignment/>
    </xf>
    <xf numFmtId="1" fontId="5" fillId="0" borderId="22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" fontId="0" fillId="0" borderId="0" xfId="0" applyNumberFormat="1" applyAlignment="1">
      <alignment/>
    </xf>
    <xf numFmtId="0" fontId="5" fillId="0" borderId="22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1" fontId="5" fillId="0" borderId="33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" fontId="5" fillId="0" borderId="25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1" fontId="5" fillId="0" borderId="38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1" fontId="2" fillId="0" borderId="22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9" fontId="2" fillId="0" borderId="27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1" fontId="2" fillId="0" borderId="33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1" fontId="2" fillId="0" borderId="21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/>
    </xf>
    <xf numFmtId="1" fontId="2" fillId="0" borderId="30" xfId="0" applyNumberFormat="1" applyFont="1" applyFill="1" applyBorder="1" applyAlignment="1">
      <alignment/>
    </xf>
    <xf numFmtId="1" fontId="2" fillId="0" borderId="33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" fontId="2" fillId="0" borderId="37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1" fontId="3" fillId="0" borderId="33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" fontId="2" fillId="0" borderId="36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1" fontId="2" fillId="0" borderId="4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4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11" fillId="0" borderId="21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11" fillId="0" borderId="3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165" fontId="0" fillId="0" borderId="0" xfId="49" applyNumberFormat="1" applyFont="1" applyAlignment="1">
      <alignment/>
    </xf>
    <xf numFmtId="1" fontId="3" fillId="0" borderId="36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0" borderId="22" xfId="0" applyFont="1" applyFill="1" applyBorder="1" applyAlignment="1">
      <alignment/>
    </xf>
    <xf numFmtId="0" fontId="2" fillId="0" borderId="22" xfId="47" applyFont="1" applyBorder="1">
      <alignment/>
      <protection/>
    </xf>
    <xf numFmtId="0" fontId="3" fillId="0" borderId="45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" fontId="2" fillId="0" borderId="35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1" fontId="2" fillId="0" borderId="3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46" xfId="0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47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2" fillId="0" borderId="43" xfId="0" applyNumberFormat="1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0" fontId="0" fillId="0" borderId="49" xfId="0" applyFill="1" applyBorder="1" applyAlignment="1">
      <alignment/>
    </xf>
    <xf numFmtId="1" fontId="2" fillId="0" borderId="50" xfId="0" applyNumberFormat="1" applyFont="1" applyFill="1" applyBorder="1" applyAlignment="1">
      <alignment/>
    </xf>
    <xf numFmtId="1" fontId="2" fillId="0" borderId="49" xfId="0" applyNumberFormat="1" applyFont="1" applyFill="1" applyBorder="1" applyAlignment="1">
      <alignment/>
    </xf>
    <xf numFmtId="0" fontId="0" fillId="0" borderId="51" xfId="0" applyFill="1" applyBorder="1" applyAlignment="1">
      <alignment/>
    </xf>
    <xf numFmtId="0" fontId="2" fillId="0" borderId="51" xfId="47" applyFont="1" applyBorder="1">
      <alignment/>
      <protection/>
    </xf>
    <xf numFmtId="1" fontId="2" fillId="0" borderId="51" xfId="0" applyNumberFormat="1" applyFont="1" applyFill="1" applyBorder="1" applyAlignment="1">
      <alignment/>
    </xf>
    <xf numFmtId="0" fontId="1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47" applyFont="1" applyBorder="1">
      <alignment/>
      <protection/>
    </xf>
    <xf numFmtId="0" fontId="1" fillId="0" borderId="0" xfId="47" applyFont="1">
      <alignment/>
      <protection/>
    </xf>
    <xf numFmtId="0" fontId="2" fillId="0" borderId="0" xfId="47">
      <alignment/>
      <protection/>
    </xf>
    <xf numFmtId="0" fontId="4" fillId="0" borderId="38" xfId="47" applyFont="1" applyBorder="1" applyAlignment="1">
      <alignment horizontal="center"/>
      <protection/>
    </xf>
    <xf numFmtId="0" fontId="4" fillId="0" borderId="40" xfId="47" applyFont="1" applyBorder="1" applyAlignment="1">
      <alignment horizontal="center"/>
      <protection/>
    </xf>
    <xf numFmtId="0" fontId="10" fillId="0" borderId="41" xfId="47" applyFont="1" applyFill="1" applyBorder="1" applyAlignment="1">
      <alignment horizontal="center"/>
      <protection/>
    </xf>
    <xf numFmtId="0" fontId="3" fillId="0" borderId="34" xfId="47" applyFont="1" applyBorder="1">
      <alignment/>
      <protection/>
    </xf>
    <xf numFmtId="0" fontId="3" fillId="0" borderId="35" xfId="47" applyFont="1" applyBorder="1">
      <alignment/>
      <protection/>
    </xf>
    <xf numFmtId="1" fontId="2" fillId="0" borderId="27" xfId="47" applyNumberFormat="1" applyFont="1" applyBorder="1">
      <alignment/>
      <protection/>
    </xf>
    <xf numFmtId="0" fontId="3" fillId="0" borderId="22" xfId="47" applyFont="1" applyBorder="1">
      <alignment/>
      <protection/>
    </xf>
    <xf numFmtId="0" fontId="3" fillId="0" borderId="23" xfId="47" applyFont="1" applyBorder="1">
      <alignment/>
      <protection/>
    </xf>
    <xf numFmtId="0" fontId="3" fillId="0" borderId="30" xfId="47" applyFont="1" applyFill="1" applyBorder="1">
      <alignment/>
      <protection/>
    </xf>
    <xf numFmtId="0" fontId="3" fillId="0" borderId="31" xfId="47" applyFont="1" applyBorder="1">
      <alignment/>
      <protection/>
    </xf>
    <xf numFmtId="1" fontId="2" fillId="0" borderId="37" xfId="47" applyNumberFormat="1" applyFont="1" applyBorder="1">
      <alignment/>
      <protection/>
    </xf>
    <xf numFmtId="0" fontId="3" fillId="0" borderId="45" xfId="47" applyFont="1" applyBorder="1">
      <alignment/>
      <protection/>
    </xf>
    <xf numFmtId="1" fontId="6" fillId="0" borderId="41" xfId="47" applyNumberFormat="1" applyFont="1" applyFill="1" applyBorder="1">
      <alignment/>
      <protection/>
    </xf>
    <xf numFmtId="0" fontId="15" fillId="0" borderId="0" xfId="47" applyFont="1" applyBorder="1" applyAlignment="1">
      <alignment/>
      <protection/>
    </xf>
    <xf numFmtId="0" fontId="3" fillId="0" borderId="10" xfId="47" applyFont="1" applyBorder="1" applyAlignment="1">
      <alignment/>
      <protection/>
    </xf>
    <xf numFmtId="1" fontId="6" fillId="0" borderId="16" xfId="47" applyNumberFormat="1" applyFont="1" applyFill="1" applyBorder="1" applyAlignment="1">
      <alignment/>
      <protection/>
    </xf>
    <xf numFmtId="0" fontId="1" fillId="0" borderId="0" xfId="47" applyFont="1" applyBorder="1" applyAlignment="1">
      <alignment/>
      <protection/>
    </xf>
    <xf numFmtId="0" fontId="2" fillId="0" borderId="0" xfId="47" applyFont="1">
      <alignment/>
      <protection/>
    </xf>
    <xf numFmtId="0" fontId="3" fillId="0" borderId="0" xfId="47" applyFont="1">
      <alignment/>
      <protection/>
    </xf>
    <xf numFmtId="0" fontId="4" fillId="0" borderId="12" xfId="47" applyFont="1" applyBorder="1" applyAlignment="1">
      <alignment horizontal="center"/>
      <protection/>
    </xf>
    <xf numFmtId="0" fontId="4" fillId="0" borderId="14" xfId="47" applyFont="1" applyBorder="1" applyAlignment="1">
      <alignment horizontal="center"/>
      <protection/>
    </xf>
    <xf numFmtId="0" fontId="3" fillId="0" borderId="17" xfId="47" applyFont="1" applyBorder="1">
      <alignment/>
      <protection/>
    </xf>
    <xf numFmtId="0" fontId="3" fillId="0" borderId="18" xfId="47" applyFont="1" applyBorder="1">
      <alignment/>
      <protection/>
    </xf>
    <xf numFmtId="1" fontId="2" fillId="0" borderId="36" xfId="47" applyNumberFormat="1" applyFont="1" applyBorder="1">
      <alignment/>
      <protection/>
    </xf>
    <xf numFmtId="0" fontId="3" fillId="0" borderId="47" xfId="47" applyFont="1" applyBorder="1">
      <alignment/>
      <protection/>
    </xf>
    <xf numFmtId="0" fontId="2" fillId="0" borderId="0" xfId="47" applyFont="1">
      <alignment/>
      <protection/>
    </xf>
    <xf numFmtId="0" fontId="3" fillId="0" borderId="10" xfId="47" applyFont="1" applyFill="1" applyBorder="1">
      <alignment/>
      <protection/>
    </xf>
    <xf numFmtId="1" fontId="3" fillId="0" borderId="16" xfId="47" applyNumberFormat="1" applyFont="1" applyBorder="1">
      <alignment/>
      <protection/>
    </xf>
    <xf numFmtId="0" fontId="3" fillId="0" borderId="0" xfId="47" applyFont="1" applyBorder="1">
      <alignment/>
      <protection/>
    </xf>
    <xf numFmtId="0" fontId="1" fillId="0" borderId="0" xfId="47" applyFont="1" applyBorder="1" applyAlignment="1">
      <alignment horizontal="center"/>
      <protection/>
    </xf>
    <xf numFmtId="0" fontId="3" fillId="0" borderId="10" xfId="47" applyFont="1" applyBorder="1">
      <alignment/>
      <protection/>
    </xf>
    <xf numFmtId="0" fontId="10" fillId="0" borderId="41" xfId="47" applyFont="1" applyFill="1" applyBorder="1" applyAlignment="1">
      <alignment horizontal="center"/>
      <protection/>
    </xf>
    <xf numFmtId="0" fontId="10" fillId="0" borderId="0" xfId="47" applyFont="1" applyFill="1" applyBorder="1" applyAlignment="1">
      <alignment horizontal="center"/>
      <protection/>
    </xf>
    <xf numFmtId="1" fontId="5" fillId="0" borderId="21" xfId="47" applyNumberFormat="1" applyFont="1" applyFill="1" applyBorder="1">
      <alignment/>
      <protection/>
    </xf>
    <xf numFmtId="0" fontId="3" fillId="0" borderId="30" xfId="47" applyFont="1" applyBorder="1">
      <alignment/>
      <protection/>
    </xf>
    <xf numFmtId="1" fontId="5" fillId="0" borderId="37" xfId="47" applyNumberFormat="1" applyFont="1" applyFill="1" applyBorder="1">
      <alignment/>
      <protection/>
    </xf>
    <xf numFmtId="1" fontId="3" fillId="0" borderId="41" xfId="47" applyNumberFormat="1" applyFont="1" applyBorder="1">
      <alignment/>
      <protection/>
    </xf>
    <xf numFmtId="1" fontId="3" fillId="0" borderId="0" xfId="47" applyNumberFormat="1" applyFont="1" applyBorder="1">
      <alignment/>
      <protection/>
    </xf>
    <xf numFmtId="0" fontId="2" fillId="0" borderId="17" xfId="47" applyFont="1" applyBorder="1">
      <alignment/>
      <protection/>
    </xf>
    <xf numFmtId="0" fontId="2" fillId="0" borderId="21" xfId="47" applyBorder="1">
      <alignment/>
      <protection/>
    </xf>
    <xf numFmtId="0" fontId="2" fillId="0" borderId="22" xfId="47" applyBorder="1">
      <alignment/>
      <protection/>
    </xf>
    <xf numFmtId="0" fontId="2" fillId="0" borderId="27" xfId="47" applyBorder="1">
      <alignment/>
      <protection/>
    </xf>
    <xf numFmtId="0" fontId="2" fillId="0" borderId="27" xfId="47" applyFont="1" applyBorder="1">
      <alignment/>
      <protection/>
    </xf>
    <xf numFmtId="0" fontId="2" fillId="0" borderId="30" xfId="47" applyBorder="1">
      <alignment/>
      <protection/>
    </xf>
    <xf numFmtId="0" fontId="2" fillId="0" borderId="33" xfId="47" applyBorder="1">
      <alignment/>
      <protection/>
    </xf>
    <xf numFmtId="0" fontId="3" fillId="0" borderId="41" xfId="47" applyFont="1" applyBorder="1">
      <alignment/>
      <protection/>
    </xf>
    <xf numFmtId="0" fontId="2" fillId="0" borderId="0" xfId="47" applyBorder="1">
      <alignment/>
      <protection/>
    </xf>
    <xf numFmtId="165" fontId="3" fillId="0" borderId="39" xfId="50" applyNumberFormat="1" applyFont="1" applyBorder="1" applyAlignment="1">
      <alignment/>
    </xf>
    <xf numFmtId="0" fontId="3" fillId="0" borderId="10" xfId="47" applyFont="1" applyFill="1" applyBorder="1">
      <alignment/>
      <protection/>
    </xf>
    <xf numFmtId="0" fontId="3" fillId="0" borderId="39" xfId="47" applyFont="1" applyFill="1" applyBorder="1">
      <alignment/>
      <protection/>
    </xf>
    <xf numFmtId="0" fontId="16" fillId="0" borderId="0" xfId="47" applyFont="1">
      <alignment/>
      <protection/>
    </xf>
    <xf numFmtId="0" fontId="10" fillId="0" borderId="26" xfId="47" applyFont="1" applyFill="1" applyBorder="1" applyAlignment="1">
      <alignment horizontal="center"/>
      <protection/>
    </xf>
    <xf numFmtId="1" fontId="2" fillId="0" borderId="18" xfId="47" applyNumberFormat="1" applyBorder="1">
      <alignment/>
      <protection/>
    </xf>
    <xf numFmtId="1" fontId="2" fillId="0" borderId="19" xfId="47" applyNumberFormat="1" applyBorder="1">
      <alignment/>
      <protection/>
    </xf>
    <xf numFmtId="1" fontId="2" fillId="0" borderId="21" xfId="47" applyNumberFormat="1" applyBorder="1">
      <alignment/>
      <protection/>
    </xf>
    <xf numFmtId="1" fontId="2" fillId="0" borderId="24" xfId="47" applyNumberFormat="1" applyBorder="1">
      <alignment/>
      <protection/>
    </xf>
    <xf numFmtId="1" fontId="2" fillId="0" borderId="27" xfId="47" applyNumberFormat="1" applyBorder="1">
      <alignment/>
      <protection/>
    </xf>
    <xf numFmtId="0" fontId="2" fillId="0" borderId="30" xfId="47" applyFont="1" applyBorder="1">
      <alignment/>
      <protection/>
    </xf>
    <xf numFmtId="1" fontId="2" fillId="0" borderId="32" xfId="47" applyNumberFormat="1" applyFont="1" applyBorder="1">
      <alignment/>
      <protection/>
    </xf>
    <xf numFmtId="1" fontId="2" fillId="0" borderId="33" xfId="47" applyNumberFormat="1" applyFont="1" applyBorder="1">
      <alignment/>
      <protection/>
    </xf>
    <xf numFmtId="0" fontId="3" fillId="0" borderId="17" xfId="47" applyFont="1" applyBorder="1">
      <alignment/>
      <protection/>
    </xf>
    <xf numFmtId="1" fontId="3" fillId="0" borderId="19" xfId="47" applyNumberFormat="1" applyFont="1" applyBorder="1">
      <alignment/>
      <protection/>
    </xf>
    <xf numFmtId="1" fontId="3" fillId="0" borderId="21" xfId="47" applyNumberFormat="1" applyFont="1" applyBorder="1">
      <alignment/>
      <protection/>
    </xf>
    <xf numFmtId="0" fontId="3" fillId="0" borderId="30" xfId="47" applyFont="1" applyBorder="1">
      <alignment/>
      <protection/>
    </xf>
    <xf numFmtId="1" fontId="3" fillId="0" borderId="32" xfId="47" applyNumberFormat="1" applyFont="1" applyBorder="1">
      <alignment/>
      <protection/>
    </xf>
    <xf numFmtId="1" fontId="3" fillId="0" borderId="33" xfId="47" applyNumberFormat="1" applyFont="1" applyBorder="1">
      <alignment/>
      <protection/>
    </xf>
    <xf numFmtId="1" fontId="2" fillId="0" borderId="0" xfId="47" applyNumberFormat="1">
      <alignment/>
      <protection/>
    </xf>
    <xf numFmtId="1" fontId="2" fillId="0" borderId="32" xfId="47" applyNumberFormat="1" applyBorder="1">
      <alignment/>
      <protection/>
    </xf>
    <xf numFmtId="1" fontId="2" fillId="0" borderId="33" xfId="47" applyNumberFormat="1" applyBorder="1">
      <alignment/>
      <protection/>
    </xf>
    <xf numFmtId="0" fontId="3" fillId="0" borderId="34" xfId="47" applyFont="1" applyBorder="1">
      <alignment/>
      <protection/>
    </xf>
    <xf numFmtId="1" fontId="3" fillId="0" borderId="28" xfId="47" applyNumberFormat="1" applyFont="1" applyBorder="1">
      <alignment/>
      <protection/>
    </xf>
    <xf numFmtId="1" fontId="3" fillId="0" borderId="36" xfId="47" applyNumberFormat="1" applyFont="1" applyBorder="1">
      <alignment/>
      <protection/>
    </xf>
    <xf numFmtId="0" fontId="3" fillId="0" borderId="38" xfId="47" applyFont="1" applyBorder="1">
      <alignment/>
      <protection/>
    </xf>
    <xf numFmtId="1" fontId="3" fillId="0" borderId="40" xfId="47" applyNumberFormat="1" applyFont="1" applyBorder="1">
      <alignment/>
      <protection/>
    </xf>
    <xf numFmtId="1" fontId="3" fillId="0" borderId="41" xfId="47" applyNumberFormat="1" applyFont="1" applyBorder="1">
      <alignment/>
      <protection/>
    </xf>
    <xf numFmtId="1" fontId="3" fillId="0" borderId="0" xfId="47" applyNumberFormat="1" applyFont="1" applyBorder="1">
      <alignment/>
      <protection/>
    </xf>
    <xf numFmtId="165" fontId="2" fillId="0" borderId="0" xfId="50" applyNumberFormat="1" applyFont="1" applyAlignment="1">
      <alignment/>
    </xf>
    <xf numFmtId="9" fontId="2" fillId="0" borderId="0" xfId="50" applyFont="1" applyAlignment="1">
      <alignment/>
    </xf>
    <xf numFmtId="164" fontId="12" fillId="0" borderId="21" xfId="0" applyNumberFormat="1" applyFont="1" applyFill="1" applyBorder="1" applyAlignment="1">
      <alignment/>
    </xf>
    <xf numFmtId="164" fontId="12" fillId="0" borderId="33" xfId="0" applyNumberFormat="1" applyFont="1" applyFill="1" applyBorder="1" applyAlignment="1">
      <alignment/>
    </xf>
    <xf numFmtId="164" fontId="8" fillId="0" borderId="21" xfId="0" applyNumberFormat="1" applyFont="1" applyFill="1" applyBorder="1" applyAlignment="1">
      <alignment/>
    </xf>
    <xf numFmtId="164" fontId="8" fillId="0" borderId="33" xfId="0" applyNumberFormat="1" applyFont="1" applyFill="1" applyBorder="1" applyAlignment="1">
      <alignment/>
    </xf>
    <xf numFmtId="164" fontId="3" fillId="0" borderId="41" xfId="0" applyNumberFormat="1" applyFont="1" applyFill="1" applyBorder="1" applyAlignment="1">
      <alignment/>
    </xf>
    <xf numFmtId="164" fontId="3" fillId="0" borderId="49" xfId="0" applyNumberFormat="1" applyFont="1" applyFill="1" applyBorder="1" applyAlignment="1">
      <alignment/>
    </xf>
    <xf numFmtId="164" fontId="3" fillId="0" borderId="54" xfId="0" applyNumberFormat="1" applyFont="1" applyFill="1" applyBorder="1" applyAlignment="1">
      <alignment/>
    </xf>
    <xf numFmtId="164" fontId="3" fillId="0" borderId="55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164" fontId="6" fillId="0" borderId="33" xfId="0" applyNumberFormat="1" applyFont="1" applyFill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4" fontId="5" fillId="0" borderId="34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5" fillId="0" borderId="38" xfId="0" applyNumberFormat="1" applyFont="1" applyFill="1" applyBorder="1" applyAlignment="1">
      <alignment/>
    </xf>
    <xf numFmtId="164" fontId="6" fillId="0" borderId="41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30" xfId="0" applyNumberFormat="1" applyFont="1" applyFill="1" applyBorder="1" applyAlignment="1">
      <alignment/>
    </xf>
    <xf numFmtId="164" fontId="3" fillId="0" borderId="33" xfId="0" applyNumberFormat="1" applyFont="1" applyFill="1" applyBorder="1" applyAlignment="1" applyProtection="1">
      <alignment/>
      <protection locked="0"/>
    </xf>
    <xf numFmtId="164" fontId="3" fillId="0" borderId="33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164" fontId="3" fillId="0" borderId="37" xfId="0" applyNumberFormat="1" applyFont="1" applyFill="1" applyBorder="1" applyAlignment="1">
      <alignment/>
    </xf>
    <xf numFmtId="164" fontId="2" fillId="0" borderId="37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56" xfId="0" applyNumberFormat="1" applyFont="1" applyFill="1" applyBorder="1" applyAlignment="1">
      <alignment/>
    </xf>
    <xf numFmtId="164" fontId="2" fillId="0" borderId="57" xfId="47" applyNumberFormat="1" applyFont="1" applyBorder="1">
      <alignment/>
      <protection/>
    </xf>
    <xf numFmtId="164" fontId="3" fillId="0" borderId="20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6" fillId="0" borderId="38" xfId="0" applyNumberFormat="1" applyFont="1" applyFill="1" applyBorder="1" applyAlignment="1">
      <alignment/>
    </xf>
    <xf numFmtId="164" fontId="3" fillId="0" borderId="48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4" fontId="3" fillId="0" borderId="10" xfId="0" applyNumberFormat="1" applyFont="1" applyFill="1" applyBorder="1" applyAlignment="1">
      <alignment horizontal="center"/>
    </xf>
    <xf numFmtId="14" fontId="3" fillId="0" borderId="46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14" fontId="2" fillId="0" borderId="46" xfId="0" applyNumberFormat="1" applyFont="1" applyFill="1" applyBorder="1" applyAlignment="1">
      <alignment horizontal="center"/>
    </xf>
    <xf numFmtId="0" fontId="1" fillId="0" borderId="0" xfId="47" applyFont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V.úprava rozpočtu" xfId="47"/>
    <cellStyle name="Poznámka" xfId="48"/>
    <cellStyle name="Percent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</a:rPr>
              <a:t>Město Blovice - rozpočtový výhled 2014-2017
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66"/>
          <c:y val="0.079"/>
          <c:w val="0.9335"/>
          <c:h val="0.9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'výhled 2014_17'!$B$56</c:f>
              <c:strCache>
                <c:ptCount val="1"/>
                <c:pt idx="0">
                  <c:v>Příjmy celkem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'výhled 2014_17'!$C$54:$G$54</c:f>
              <c:strCache/>
            </c:strRef>
          </c:cat>
          <c:val>
            <c:numRef>
              <c:f>'výhled 2014_17'!$C$56:$G$56</c:f>
              <c:numCache/>
            </c:numRef>
          </c:val>
          <c:shape val="box"/>
        </c:ser>
        <c:ser>
          <c:idx val="1"/>
          <c:order val="1"/>
          <c:tx>
            <c:strRef>
              <c:f>'výhled 2014_17'!$B$57</c:f>
              <c:strCache>
                <c:ptCount val="1"/>
                <c:pt idx="0">
                  <c:v>Výdaje celkem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'výhled 2014_17'!$C$54:$G$54</c:f>
              <c:strCache/>
            </c:strRef>
          </c:cat>
          <c:val>
            <c:numRef>
              <c:f>'výhled 2014_17'!$C$57:$G$57</c:f>
              <c:numCache/>
            </c:numRef>
          </c:val>
          <c:shape val="box"/>
        </c:ser>
        <c:shape val="box"/>
        <c:axId val="60088394"/>
        <c:axId val="3924635"/>
      </c:bar3DChart>
      <c:catAx>
        <c:axId val="6008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4635"/>
        <c:crosses val="autoZero"/>
        <c:auto val="1"/>
        <c:lblOffset val="100"/>
        <c:tickLblSkip val="1"/>
        <c:noMultiLvlLbl val="0"/>
      </c:catAx>
      <c:valAx>
        <c:axId val="39246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tis.Kč</a:t>
                </a:r>
              </a:p>
            </c:rich>
          </c:tx>
          <c:layout>
            <c:manualLayout>
              <c:xMode val="factor"/>
              <c:yMode val="factor"/>
              <c:x val="-0.061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88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95"/>
          <c:y val="0.5305"/>
          <c:w val="0.307"/>
          <c:h val="0.2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28575</xdr:rowOff>
    </xdr:from>
    <xdr:to>
      <xdr:col>6</xdr:col>
      <xdr:colOff>581025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9050" y="4857750"/>
        <a:ext cx="51720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2"/>
  <sheetViews>
    <sheetView tabSelected="1" zoomScalePageLayoutView="0" workbookViewId="0" topLeftCell="A1">
      <selection activeCell="O132" sqref="O132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3.00390625" style="0" customWidth="1"/>
    <col min="4" max="4" width="32.421875" style="0" customWidth="1"/>
    <col min="5" max="5" width="0.42578125" style="129" hidden="1" customWidth="1"/>
    <col min="6" max="7" width="0.71875" style="129" hidden="1" customWidth="1"/>
    <col min="8" max="8" width="0.13671875" style="129" hidden="1" customWidth="1"/>
    <col min="9" max="10" width="9.7109375" style="129" hidden="1" customWidth="1"/>
    <col min="11" max="11" width="9.8515625" style="116" customWidth="1"/>
    <col min="12" max="14" width="11.140625" style="116" customWidth="1"/>
    <col min="15" max="15" width="9.140625" style="116" customWidth="1"/>
    <col min="16" max="16" width="11.57421875" style="0" customWidth="1"/>
    <col min="21" max="21" width="10.57421875" style="0" bestFit="1" customWidth="1"/>
  </cols>
  <sheetData>
    <row r="1" spans="1:15" ht="18.75" thickBot="1">
      <c r="A1" s="1" t="s">
        <v>0</v>
      </c>
      <c r="B1" s="2"/>
      <c r="C1" s="2"/>
      <c r="D1" s="2"/>
      <c r="E1" s="279" t="s">
        <v>1</v>
      </c>
      <c r="F1" s="280"/>
      <c r="G1" s="279" t="s">
        <v>2</v>
      </c>
      <c r="H1" s="280"/>
      <c r="I1" s="279" t="s">
        <v>3</v>
      </c>
      <c r="J1" s="280"/>
      <c r="K1" s="277" t="s">
        <v>199</v>
      </c>
      <c r="L1" s="278"/>
      <c r="M1" s="277" t="s">
        <v>200</v>
      </c>
      <c r="N1" s="278"/>
      <c r="O1" s="3"/>
    </row>
    <row r="2" spans="1:15" ht="13.5" thickBot="1">
      <c r="A2" s="4" t="s">
        <v>4</v>
      </c>
      <c r="B2" s="5" t="s">
        <v>5</v>
      </c>
      <c r="C2" s="5" t="s">
        <v>6</v>
      </c>
      <c r="D2" s="6" t="s">
        <v>7</v>
      </c>
      <c r="E2" s="7"/>
      <c r="F2" s="8" t="s">
        <v>8</v>
      </c>
      <c r="G2" s="7"/>
      <c r="H2" s="8" t="s">
        <v>8</v>
      </c>
      <c r="I2" s="7"/>
      <c r="J2" s="8" t="s">
        <v>8</v>
      </c>
      <c r="K2" s="7"/>
      <c r="L2" s="9" t="s">
        <v>8</v>
      </c>
      <c r="M2" s="7"/>
      <c r="N2" s="9" t="s">
        <v>8</v>
      </c>
      <c r="O2" s="10"/>
    </row>
    <row r="3" spans="1:15" ht="12.75">
      <c r="A3" s="11" t="s">
        <v>9</v>
      </c>
      <c r="B3" s="12" t="s">
        <v>10</v>
      </c>
      <c r="C3" s="12">
        <v>1</v>
      </c>
      <c r="D3" s="13" t="s">
        <v>11</v>
      </c>
      <c r="E3" s="14">
        <f>10483.3+814</f>
        <v>11297.3</v>
      </c>
      <c r="F3" s="15"/>
      <c r="G3" s="14">
        <f>10483.3+814</f>
        <v>11297.3</v>
      </c>
      <c r="H3" s="15"/>
      <c r="I3" s="14">
        <f>10483.3+814</f>
        <v>11297.3</v>
      </c>
      <c r="J3" s="15"/>
      <c r="K3" s="239">
        <f>10501.4+803.9</f>
        <v>11305.3</v>
      </c>
      <c r="L3" s="242"/>
      <c r="M3" s="269">
        <f>10501.4+803.9+576</f>
        <v>11881.3</v>
      </c>
      <c r="N3" s="242"/>
      <c r="O3" s="16"/>
    </row>
    <row r="4" spans="1:15" ht="12.75">
      <c r="A4" s="21"/>
      <c r="B4" s="22"/>
      <c r="C4" s="18">
        <v>2</v>
      </c>
      <c r="D4" s="24" t="s">
        <v>12</v>
      </c>
      <c r="E4" s="20">
        <v>0</v>
      </c>
      <c r="F4" s="23"/>
      <c r="G4" s="20">
        <v>323</v>
      </c>
      <c r="H4" s="23"/>
      <c r="I4" s="20">
        <v>323</v>
      </c>
      <c r="J4" s="23"/>
      <c r="K4" s="240">
        <v>301.7</v>
      </c>
      <c r="L4" s="243"/>
      <c r="M4" s="240">
        <v>301.7</v>
      </c>
      <c r="N4" s="243"/>
      <c r="O4" s="16"/>
    </row>
    <row r="5" spans="1:15" ht="12.75">
      <c r="A5" s="21"/>
      <c r="B5" s="22"/>
      <c r="C5" s="18">
        <f aca="true" t="shared" si="0" ref="C5:C14">+C4+1</f>
        <v>3</v>
      </c>
      <c r="D5" s="25" t="s">
        <v>13</v>
      </c>
      <c r="E5" s="20">
        <v>0</v>
      </c>
      <c r="F5" s="23"/>
      <c r="G5" s="20">
        <v>100</v>
      </c>
      <c r="H5" s="23"/>
      <c r="I5" s="20">
        <v>150</v>
      </c>
      <c r="J5" s="23"/>
      <c r="K5" s="240">
        <v>0</v>
      </c>
      <c r="L5" s="243"/>
      <c r="M5" s="271">
        <v>100</v>
      </c>
      <c r="N5" s="243"/>
      <c r="O5" s="16"/>
    </row>
    <row r="6" spans="1:15" ht="12.75">
      <c r="A6" s="21"/>
      <c r="B6" s="22"/>
      <c r="C6" s="18">
        <f t="shared" si="0"/>
        <v>4</v>
      </c>
      <c r="D6" s="25" t="s">
        <v>14</v>
      </c>
      <c r="E6" s="20">
        <v>0</v>
      </c>
      <c r="F6" s="23"/>
      <c r="G6" s="20">
        <v>0</v>
      </c>
      <c r="H6" s="23"/>
      <c r="I6" s="20">
        <v>100</v>
      </c>
      <c r="J6" s="23"/>
      <c r="K6" s="240">
        <v>0</v>
      </c>
      <c r="L6" s="243"/>
      <c r="M6" s="271">
        <v>80</v>
      </c>
      <c r="N6" s="243"/>
      <c r="O6" s="16"/>
    </row>
    <row r="7" spans="1:15" ht="12.75">
      <c r="A7" s="21"/>
      <c r="B7" s="22"/>
      <c r="C7" s="18">
        <f t="shared" si="0"/>
        <v>5</v>
      </c>
      <c r="D7" s="26" t="s">
        <v>15</v>
      </c>
      <c r="E7" s="20">
        <v>0</v>
      </c>
      <c r="F7" s="23"/>
      <c r="G7" s="20">
        <v>0</v>
      </c>
      <c r="H7" s="23"/>
      <c r="I7" s="20">
        <v>925</v>
      </c>
      <c r="J7" s="23"/>
      <c r="K7" s="240">
        <v>0</v>
      </c>
      <c r="L7" s="243"/>
      <c r="M7" s="240">
        <v>0</v>
      </c>
      <c r="N7" s="243"/>
      <c r="O7" s="16"/>
    </row>
    <row r="8" spans="1:15" ht="12.75">
      <c r="A8" s="21"/>
      <c r="B8" s="22"/>
      <c r="C8" s="18">
        <f t="shared" si="0"/>
        <v>6</v>
      </c>
      <c r="D8" s="26" t="s">
        <v>16</v>
      </c>
      <c r="E8" s="20"/>
      <c r="F8" s="23"/>
      <c r="G8" s="20"/>
      <c r="H8" s="23"/>
      <c r="I8" s="20"/>
      <c r="J8" s="23"/>
      <c r="K8" s="240">
        <v>0</v>
      </c>
      <c r="L8" s="243"/>
      <c r="M8" s="240">
        <v>0</v>
      </c>
      <c r="N8" s="243"/>
      <c r="O8" s="16"/>
    </row>
    <row r="9" spans="1:15" ht="12.75">
      <c r="A9" s="21"/>
      <c r="B9" s="22"/>
      <c r="C9" s="18">
        <f t="shared" si="0"/>
        <v>7</v>
      </c>
      <c r="D9" s="26" t="s">
        <v>123</v>
      </c>
      <c r="E9" s="20"/>
      <c r="F9" s="23"/>
      <c r="G9" s="20"/>
      <c r="H9" s="23"/>
      <c r="I9" s="20"/>
      <c r="J9" s="23"/>
      <c r="K9" s="240">
        <v>488.8</v>
      </c>
      <c r="L9" s="243"/>
      <c r="M9" s="271">
        <v>245.5</v>
      </c>
      <c r="N9" s="243"/>
      <c r="O9" s="16"/>
    </row>
    <row r="10" spans="1:15" ht="12.75">
      <c r="A10" s="21"/>
      <c r="B10" s="22"/>
      <c r="C10" s="18">
        <f t="shared" si="0"/>
        <v>8</v>
      </c>
      <c r="D10" s="26" t="s">
        <v>204</v>
      </c>
      <c r="E10" s="20"/>
      <c r="F10" s="23"/>
      <c r="G10" s="20"/>
      <c r="H10" s="23"/>
      <c r="I10" s="20"/>
      <c r="J10" s="23"/>
      <c r="K10" s="240"/>
      <c r="L10" s="243"/>
      <c r="M10" s="271">
        <v>1383</v>
      </c>
      <c r="N10" s="243"/>
      <c r="O10" s="16"/>
    </row>
    <row r="11" spans="1:15" ht="12.75">
      <c r="A11" s="21"/>
      <c r="B11" s="22"/>
      <c r="C11" s="18">
        <f t="shared" si="0"/>
        <v>9</v>
      </c>
      <c r="D11" s="25" t="s">
        <v>138</v>
      </c>
      <c r="E11" s="20"/>
      <c r="F11" s="23"/>
      <c r="G11" s="20"/>
      <c r="H11" s="23"/>
      <c r="I11" s="20"/>
      <c r="J11" s="23"/>
      <c r="K11" s="240">
        <v>0</v>
      </c>
      <c r="L11" s="243"/>
      <c r="M11" s="240">
        <v>0</v>
      </c>
      <c r="N11" s="243"/>
      <c r="O11" s="16"/>
    </row>
    <row r="12" spans="1:15" ht="12.75">
      <c r="A12" s="21"/>
      <c r="B12" s="22"/>
      <c r="C12" s="18">
        <f t="shared" si="0"/>
        <v>10</v>
      </c>
      <c r="D12" s="26" t="s">
        <v>133</v>
      </c>
      <c r="E12" s="20"/>
      <c r="F12" s="23"/>
      <c r="G12" s="20"/>
      <c r="H12" s="23"/>
      <c r="I12" s="20"/>
      <c r="J12" s="23"/>
      <c r="K12" s="240">
        <v>489.8</v>
      </c>
      <c r="L12" s="243"/>
      <c r="M12" s="240">
        <v>489.8</v>
      </c>
      <c r="N12" s="243"/>
      <c r="O12" s="16"/>
    </row>
    <row r="13" spans="1:16" ht="12.75">
      <c r="A13" s="21"/>
      <c r="B13" s="22"/>
      <c r="C13" s="18">
        <f t="shared" si="0"/>
        <v>11</v>
      </c>
      <c r="D13" s="26" t="s">
        <v>203</v>
      </c>
      <c r="E13" s="20"/>
      <c r="F13" s="23"/>
      <c r="G13" s="20"/>
      <c r="H13" s="23"/>
      <c r="I13" s="20"/>
      <c r="J13" s="23"/>
      <c r="K13" s="240">
        <v>10600</v>
      </c>
      <c r="L13" s="243"/>
      <c r="M13" s="240">
        <v>10600</v>
      </c>
      <c r="N13" s="243"/>
      <c r="O13" s="276">
        <f>SUM(M9:M13)+178.4</f>
        <v>12896.699999999999</v>
      </c>
      <c r="P13" s="27" t="s">
        <v>17</v>
      </c>
    </row>
    <row r="14" spans="1:15" ht="12.75">
      <c r="A14" s="21"/>
      <c r="B14" s="22"/>
      <c r="C14" s="18">
        <f t="shared" si="0"/>
        <v>12</v>
      </c>
      <c r="D14" s="26" t="s">
        <v>126</v>
      </c>
      <c r="E14" s="28">
        <v>0</v>
      </c>
      <c r="F14" s="23"/>
      <c r="G14" s="28">
        <f>69+31</f>
        <v>100</v>
      </c>
      <c r="H14" s="23"/>
      <c r="I14" s="28">
        <v>9</v>
      </c>
      <c r="J14" s="23"/>
      <c r="K14" s="240">
        <v>178.4</v>
      </c>
      <c r="L14" s="243"/>
      <c r="M14" s="271">
        <f>178.4+34</f>
        <v>212.4</v>
      </c>
      <c r="N14" s="243"/>
      <c r="O14" s="16"/>
    </row>
    <row r="15" spans="1:15" ht="13.5" thickBot="1">
      <c r="A15" s="29"/>
      <c r="B15" s="30"/>
      <c r="C15" s="30"/>
      <c r="D15" s="31" t="s">
        <v>8</v>
      </c>
      <c r="E15" s="32"/>
      <c r="F15" s="33">
        <f>SUM(E3:E14)</f>
        <v>11297.3</v>
      </c>
      <c r="G15" s="32"/>
      <c r="H15" s="33">
        <f>SUM(G3:G14)</f>
        <v>11820.3</v>
      </c>
      <c r="I15" s="32"/>
      <c r="J15" s="33">
        <f>SUM(I3:I14)</f>
        <v>12804.3</v>
      </c>
      <c r="K15" s="244"/>
      <c r="L15" s="241">
        <f>SUM(K3:K14)</f>
        <v>23364</v>
      </c>
      <c r="M15" s="244"/>
      <c r="N15" s="241">
        <f>SUM(M3:M14)</f>
        <v>25293.7</v>
      </c>
      <c r="O15" s="34"/>
    </row>
    <row r="16" spans="1:15" ht="12.75">
      <c r="A16" s="35" t="s">
        <v>18</v>
      </c>
      <c r="B16" s="36" t="s">
        <v>19</v>
      </c>
      <c r="C16" s="36">
        <v>1</v>
      </c>
      <c r="D16" s="24" t="s">
        <v>20</v>
      </c>
      <c r="E16" s="37">
        <v>3000</v>
      </c>
      <c r="F16" s="38"/>
      <c r="G16" s="37">
        <v>3000</v>
      </c>
      <c r="H16" s="38"/>
      <c r="I16" s="37">
        <v>3000</v>
      </c>
      <c r="J16" s="38"/>
      <c r="K16" s="245">
        <v>2770</v>
      </c>
      <c r="L16" s="246"/>
      <c r="M16" s="245">
        <v>2770</v>
      </c>
      <c r="N16" s="246"/>
      <c r="O16" s="16"/>
    </row>
    <row r="17" spans="1:15" ht="12.75">
      <c r="A17" s="17"/>
      <c r="B17" s="18"/>
      <c r="C17" s="18">
        <v>2</v>
      </c>
      <c r="D17" s="19" t="s">
        <v>21</v>
      </c>
      <c r="E17" s="20">
        <f>6600+440+13700+550+5860</f>
        <v>27150</v>
      </c>
      <c r="F17" s="23"/>
      <c r="G17" s="20">
        <f>6600+440+13700+550+5860</f>
        <v>27150</v>
      </c>
      <c r="H17" s="23"/>
      <c r="I17" s="20">
        <f>6600+440+13700+550+5860</f>
        <v>27150</v>
      </c>
      <c r="J17" s="23"/>
      <c r="K17" s="240">
        <v>37500</v>
      </c>
      <c r="L17" s="243"/>
      <c r="M17" s="271">
        <v>37650</v>
      </c>
      <c r="N17" s="243" t="s">
        <v>205</v>
      </c>
      <c r="O17" s="16"/>
    </row>
    <row r="18" spans="1:15" ht="12.75">
      <c r="A18" s="17"/>
      <c r="B18" s="18"/>
      <c r="C18" s="18">
        <v>3</v>
      </c>
      <c r="D18" s="19" t="s">
        <v>22</v>
      </c>
      <c r="E18" s="28">
        <v>1000</v>
      </c>
      <c r="F18" s="23"/>
      <c r="G18" s="28">
        <v>570</v>
      </c>
      <c r="H18" s="23"/>
      <c r="I18" s="28">
        <v>570</v>
      </c>
      <c r="J18" s="23"/>
      <c r="K18" s="240">
        <v>1900</v>
      </c>
      <c r="L18" s="243"/>
      <c r="M18" s="271">
        <v>1700</v>
      </c>
      <c r="N18" s="243"/>
      <c r="O18" s="16"/>
    </row>
    <row r="19" spans="1:15" ht="13.5" thickBot="1">
      <c r="A19" s="29"/>
      <c r="B19" s="30"/>
      <c r="C19" s="30"/>
      <c r="D19" s="31" t="s">
        <v>23</v>
      </c>
      <c r="E19" s="32"/>
      <c r="F19" s="33">
        <f>SUM(E16:E18)</f>
        <v>31150</v>
      </c>
      <c r="G19" s="32"/>
      <c r="H19" s="33">
        <f>SUM(G16:G18)</f>
        <v>30720</v>
      </c>
      <c r="I19" s="32"/>
      <c r="J19" s="33">
        <f>SUM(I16:I18)</f>
        <v>30720</v>
      </c>
      <c r="K19" s="244"/>
      <c r="L19" s="241">
        <f>SUM(K16:K18)</f>
        <v>42170</v>
      </c>
      <c r="M19" s="244"/>
      <c r="N19" s="241">
        <f>SUM(M16:M18)</f>
        <v>42120</v>
      </c>
      <c r="O19" s="34"/>
    </row>
    <row r="20" spans="1:15" ht="12.75">
      <c r="A20" s="17" t="s">
        <v>24</v>
      </c>
      <c r="B20" s="36" t="s">
        <v>25</v>
      </c>
      <c r="C20" s="18">
        <v>1</v>
      </c>
      <c r="D20" s="19" t="s">
        <v>26</v>
      </c>
      <c r="E20" s="28">
        <v>1250</v>
      </c>
      <c r="F20" s="23"/>
      <c r="G20" s="28">
        <v>1250</v>
      </c>
      <c r="H20" s="23"/>
      <c r="I20" s="28">
        <v>1250</v>
      </c>
      <c r="J20" s="23"/>
      <c r="K20" s="240">
        <v>1170</v>
      </c>
      <c r="L20" s="243"/>
      <c r="M20" s="240">
        <v>1170</v>
      </c>
      <c r="N20" s="243"/>
      <c r="O20" s="16"/>
    </row>
    <row r="21" spans="1:15" ht="12.75">
      <c r="A21" s="17"/>
      <c r="B21" s="18"/>
      <c r="C21" s="18">
        <f aca="true" t="shared" si="1" ref="C21:C30">+C20+1</f>
        <v>2</v>
      </c>
      <c r="D21" s="19" t="s">
        <v>27</v>
      </c>
      <c r="E21" s="28">
        <v>350</v>
      </c>
      <c r="F21" s="23"/>
      <c r="G21" s="28">
        <v>350</v>
      </c>
      <c r="H21" s="23"/>
      <c r="I21" s="28">
        <v>350</v>
      </c>
      <c r="J21" s="23"/>
      <c r="K21" s="240">
        <v>260</v>
      </c>
      <c r="L21" s="243"/>
      <c r="M21" s="240">
        <v>260</v>
      </c>
      <c r="N21" s="243"/>
      <c r="O21" s="16"/>
    </row>
    <row r="22" spans="1:15" ht="12.75">
      <c r="A22" s="17"/>
      <c r="B22" s="18"/>
      <c r="C22" s="18">
        <f t="shared" si="1"/>
        <v>3</v>
      </c>
      <c r="D22" s="19" t="s">
        <v>28</v>
      </c>
      <c r="E22" s="28">
        <v>130</v>
      </c>
      <c r="F22" s="23"/>
      <c r="G22" s="28">
        <v>130</v>
      </c>
      <c r="H22" s="23"/>
      <c r="I22" s="28">
        <v>130</v>
      </c>
      <c r="J22" s="23"/>
      <c r="K22" s="240">
        <v>120</v>
      </c>
      <c r="L22" s="243"/>
      <c r="M22" s="240">
        <v>120</v>
      </c>
      <c r="N22" s="243"/>
      <c r="O22" s="16"/>
    </row>
    <row r="23" spans="1:15" ht="12.75">
      <c r="A23" s="17"/>
      <c r="B23" s="18"/>
      <c r="C23" s="18">
        <f t="shared" si="1"/>
        <v>4</v>
      </c>
      <c r="D23" s="19" t="s">
        <v>29</v>
      </c>
      <c r="E23" s="28">
        <v>240</v>
      </c>
      <c r="F23" s="23"/>
      <c r="G23" s="28">
        <v>240</v>
      </c>
      <c r="H23" s="23"/>
      <c r="I23" s="28">
        <v>240</v>
      </c>
      <c r="J23" s="23"/>
      <c r="K23" s="240">
        <v>450</v>
      </c>
      <c r="L23" s="243"/>
      <c r="M23" s="240">
        <v>450</v>
      </c>
      <c r="N23" s="243"/>
      <c r="O23" s="16"/>
    </row>
    <row r="24" spans="1:15" ht="12.75">
      <c r="A24" s="17"/>
      <c r="B24" s="18"/>
      <c r="C24" s="18">
        <f t="shared" si="1"/>
        <v>5</v>
      </c>
      <c r="D24" s="19" t="s">
        <v>30</v>
      </c>
      <c r="E24" s="28">
        <v>220</v>
      </c>
      <c r="F24" s="23"/>
      <c r="G24" s="28">
        <v>220</v>
      </c>
      <c r="H24" s="23"/>
      <c r="I24" s="28">
        <v>220</v>
      </c>
      <c r="J24" s="23"/>
      <c r="K24" s="240">
        <v>110</v>
      </c>
      <c r="L24" s="243"/>
      <c r="M24" s="240">
        <v>110</v>
      </c>
      <c r="N24" s="243"/>
      <c r="O24" s="16"/>
    </row>
    <row r="25" spans="1:15" ht="12.75">
      <c r="A25" s="17"/>
      <c r="B25" s="18" t="s">
        <v>31</v>
      </c>
      <c r="C25" s="18">
        <f t="shared" si="1"/>
        <v>6</v>
      </c>
      <c r="D25" s="19" t="s">
        <v>32</v>
      </c>
      <c r="E25" s="28">
        <v>1800</v>
      </c>
      <c r="F25" s="23"/>
      <c r="G25" s="28">
        <v>1800</v>
      </c>
      <c r="H25" s="23"/>
      <c r="I25" s="28">
        <v>1800</v>
      </c>
      <c r="J25" s="23"/>
      <c r="K25" s="240">
        <v>2050</v>
      </c>
      <c r="L25" s="243"/>
      <c r="M25" s="271">
        <v>3000</v>
      </c>
      <c r="N25" s="243"/>
      <c r="O25" s="16"/>
    </row>
    <row r="26" spans="1:15" ht="12.75">
      <c r="A26" s="17"/>
      <c r="B26" s="18" t="s">
        <v>33</v>
      </c>
      <c r="C26" s="18">
        <f t="shared" si="1"/>
        <v>7</v>
      </c>
      <c r="D26" s="19" t="s">
        <v>34</v>
      </c>
      <c r="E26" s="28">
        <v>112</v>
      </c>
      <c r="F26" s="23"/>
      <c r="G26" s="28">
        <v>112</v>
      </c>
      <c r="H26" s="23"/>
      <c r="I26" s="28">
        <v>112</v>
      </c>
      <c r="J26" s="23"/>
      <c r="K26" s="240">
        <v>112</v>
      </c>
      <c r="L26" s="243"/>
      <c r="M26" s="240">
        <v>112</v>
      </c>
      <c r="N26" s="243"/>
      <c r="O26" s="16"/>
    </row>
    <row r="27" spans="1:15" ht="12.75">
      <c r="A27" s="17"/>
      <c r="B27" s="18"/>
      <c r="C27" s="18">
        <f t="shared" si="1"/>
        <v>8</v>
      </c>
      <c r="D27" s="19" t="s">
        <v>35</v>
      </c>
      <c r="E27" s="28">
        <v>198</v>
      </c>
      <c r="F27" s="23"/>
      <c r="G27" s="28">
        <v>198</v>
      </c>
      <c r="H27" s="23"/>
      <c r="I27" s="28">
        <v>198</v>
      </c>
      <c r="J27" s="23"/>
      <c r="K27" s="240">
        <v>198</v>
      </c>
      <c r="L27" s="243"/>
      <c r="M27" s="240">
        <v>198</v>
      </c>
      <c r="N27" s="243"/>
      <c r="O27" s="16"/>
    </row>
    <row r="28" spans="1:15" ht="12.75">
      <c r="A28" s="17"/>
      <c r="B28" s="18"/>
      <c r="C28" s="18">
        <f t="shared" si="1"/>
        <v>9</v>
      </c>
      <c r="D28" s="19" t="s">
        <v>36</v>
      </c>
      <c r="E28" s="28">
        <v>60</v>
      </c>
      <c r="F28" s="23"/>
      <c r="G28" s="28">
        <v>60</v>
      </c>
      <c r="H28" s="23"/>
      <c r="I28" s="28">
        <v>60</v>
      </c>
      <c r="J28" s="23"/>
      <c r="K28" s="240">
        <v>60</v>
      </c>
      <c r="L28" s="243"/>
      <c r="M28" s="240">
        <v>60</v>
      </c>
      <c r="N28" s="243"/>
      <c r="O28" s="16"/>
    </row>
    <row r="29" spans="1:15" ht="12.75">
      <c r="A29" s="21"/>
      <c r="B29" s="22"/>
      <c r="C29" s="18">
        <f t="shared" si="1"/>
        <v>10</v>
      </c>
      <c r="D29" s="26" t="s">
        <v>37</v>
      </c>
      <c r="E29" s="39">
        <v>2135</v>
      </c>
      <c r="F29" s="40"/>
      <c r="G29" s="39">
        <v>2135</v>
      </c>
      <c r="H29" s="40"/>
      <c r="I29" s="39">
        <v>2135</v>
      </c>
      <c r="J29" s="40"/>
      <c r="K29" s="247">
        <v>3150</v>
      </c>
      <c r="L29" s="248"/>
      <c r="M29" s="247">
        <v>3150</v>
      </c>
      <c r="N29" s="248"/>
      <c r="O29" s="16"/>
    </row>
    <row r="30" spans="1:15" ht="12.75">
      <c r="A30" s="21"/>
      <c r="B30" s="22" t="s">
        <v>38</v>
      </c>
      <c r="C30" s="18">
        <f t="shared" si="1"/>
        <v>11</v>
      </c>
      <c r="D30" s="26" t="s">
        <v>39</v>
      </c>
      <c r="E30" s="39">
        <v>170</v>
      </c>
      <c r="F30" s="40"/>
      <c r="G30" s="39">
        <v>170</v>
      </c>
      <c r="H30" s="40"/>
      <c r="I30" s="39">
        <v>170</v>
      </c>
      <c r="J30" s="40"/>
      <c r="K30" s="247">
        <v>100</v>
      </c>
      <c r="L30" s="248"/>
      <c r="M30" s="247">
        <v>100</v>
      </c>
      <c r="N30" s="248"/>
      <c r="O30" s="16"/>
    </row>
    <row r="31" spans="1:15" ht="13.5" thickBot="1">
      <c r="A31" s="29"/>
      <c r="B31" s="30"/>
      <c r="C31" s="30"/>
      <c r="D31" s="31" t="s">
        <v>23</v>
      </c>
      <c r="E31" s="32"/>
      <c r="F31" s="41">
        <f>SUM(E20:E30)</f>
        <v>6665</v>
      </c>
      <c r="G31" s="32"/>
      <c r="H31" s="41">
        <f>SUM(G20:G30)</f>
        <v>6665</v>
      </c>
      <c r="I31" s="32"/>
      <c r="J31" s="41">
        <f>SUM(I20:I30)</f>
        <v>6665</v>
      </c>
      <c r="K31" s="244"/>
      <c r="L31" s="241">
        <f>SUM(K20:K30)</f>
        <v>7780</v>
      </c>
      <c r="M31" s="244"/>
      <c r="N31" s="241">
        <f>SUM(M20:M30)</f>
        <v>8730</v>
      </c>
      <c r="O31" s="16"/>
    </row>
    <row r="32" spans="1:15" ht="12.75">
      <c r="A32" s="11" t="s">
        <v>40</v>
      </c>
      <c r="B32" s="12" t="s">
        <v>41</v>
      </c>
      <c r="C32" s="12">
        <v>1</v>
      </c>
      <c r="D32" s="13" t="s">
        <v>42</v>
      </c>
      <c r="E32" s="42">
        <v>238</v>
      </c>
      <c r="F32" s="15"/>
      <c r="G32" s="42">
        <v>238</v>
      </c>
      <c r="H32" s="15"/>
      <c r="I32" s="42">
        <v>238</v>
      </c>
      <c r="J32" s="15"/>
      <c r="K32" s="249">
        <v>212</v>
      </c>
      <c r="L32" s="242"/>
      <c r="M32" s="249">
        <v>212</v>
      </c>
      <c r="N32" s="242"/>
      <c r="O32" s="16"/>
    </row>
    <row r="33" spans="1:15" ht="12.75">
      <c r="A33" s="17"/>
      <c r="B33" s="18" t="s">
        <v>43</v>
      </c>
      <c r="C33" s="18">
        <v>2</v>
      </c>
      <c r="D33" s="19" t="s">
        <v>44</v>
      </c>
      <c r="E33" s="28">
        <v>4000</v>
      </c>
      <c r="F33" s="23"/>
      <c r="G33" s="28">
        <v>4000</v>
      </c>
      <c r="H33" s="23"/>
      <c r="I33" s="28">
        <v>3950</v>
      </c>
      <c r="J33" s="23"/>
      <c r="K33" s="240">
        <v>1500</v>
      </c>
      <c r="L33" s="243"/>
      <c r="M33" s="240">
        <v>1500</v>
      </c>
      <c r="N33" s="243"/>
      <c r="O33" s="16"/>
    </row>
    <row r="34" spans="1:15" ht="12.75">
      <c r="A34" s="21"/>
      <c r="B34" s="22"/>
      <c r="C34" s="18">
        <v>3</v>
      </c>
      <c r="D34" s="26" t="s">
        <v>137</v>
      </c>
      <c r="E34" s="39">
        <v>2500</v>
      </c>
      <c r="F34" s="40"/>
      <c r="G34" s="39">
        <v>2500</v>
      </c>
      <c r="H34" s="40"/>
      <c r="I34" s="39">
        <v>2550</v>
      </c>
      <c r="J34" s="40"/>
      <c r="K34" s="247">
        <v>105</v>
      </c>
      <c r="L34" s="248"/>
      <c r="M34" s="247">
        <v>105</v>
      </c>
      <c r="N34" s="248"/>
      <c r="O34" s="16"/>
    </row>
    <row r="35" spans="1:15" ht="12.75">
      <c r="A35" s="21"/>
      <c r="B35" s="22"/>
      <c r="C35" s="18">
        <v>4</v>
      </c>
      <c r="D35" s="26" t="s">
        <v>45</v>
      </c>
      <c r="E35" s="39">
        <f>24*12</f>
        <v>288</v>
      </c>
      <c r="F35" s="40"/>
      <c r="G35" s="39">
        <f>24*12</f>
        <v>288</v>
      </c>
      <c r="H35" s="40"/>
      <c r="I35" s="39">
        <f>24*12</f>
        <v>288</v>
      </c>
      <c r="J35" s="40"/>
      <c r="K35" s="247">
        <v>211</v>
      </c>
      <c r="L35" s="248"/>
      <c r="M35" s="247">
        <v>211</v>
      </c>
      <c r="N35" s="248"/>
      <c r="O35" s="16"/>
    </row>
    <row r="36" spans="1:15" ht="13.5" thickBot="1">
      <c r="A36" s="29"/>
      <c r="B36" s="30"/>
      <c r="C36" s="30"/>
      <c r="D36" s="31" t="s">
        <v>23</v>
      </c>
      <c r="E36" s="32"/>
      <c r="F36" s="41">
        <f>SUM(E32:E35)</f>
        <v>7026</v>
      </c>
      <c r="G36" s="32"/>
      <c r="H36" s="41">
        <f>SUM(G32:G35)</f>
        <v>7026</v>
      </c>
      <c r="I36" s="32"/>
      <c r="J36" s="41">
        <f>SUM(I32:I35)</f>
        <v>7026</v>
      </c>
      <c r="K36" s="244"/>
      <c r="L36" s="241">
        <f>SUM(K32:K35)</f>
        <v>2028</v>
      </c>
      <c r="M36" s="244"/>
      <c r="N36" s="241">
        <f>SUM(M32:M35)</f>
        <v>2028</v>
      </c>
      <c r="O36" s="16"/>
    </row>
    <row r="37" spans="1:15" ht="12.75">
      <c r="A37" s="11" t="s">
        <v>46</v>
      </c>
      <c r="B37" s="43" t="s">
        <v>47</v>
      </c>
      <c r="C37" s="43">
        <v>1</v>
      </c>
      <c r="D37" s="13" t="s">
        <v>48</v>
      </c>
      <c r="E37" s="42">
        <v>134</v>
      </c>
      <c r="F37" s="15"/>
      <c r="G37" s="42">
        <v>134</v>
      </c>
      <c r="H37" s="15"/>
      <c r="I37" s="42">
        <v>134</v>
      </c>
      <c r="J37" s="15"/>
      <c r="K37" s="249">
        <v>134</v>
      </c>
      <c r="L37" s="242"/>
      <c r="M37" s="249">
        <v>134</v>
      </c>
      <c r="N37" s="242"/>
      <c r="O37" s="16"/>
    </row>
    <row r="38" spans="1:15" ht="12.75">
      <c r="A38" s="35"/>
      <c r="B38" s="44"/>
      <c r="C38" s="44">
        <v>2</v>
      </c>
      <c r="D38" s="24" t="s">
        <v>49</v>
      </c>
      <c r="E38" s="37">
        <v>300</v>
      </c>
      <c r="F38" s="38"/>
      <c r="G38" s="37">
        <v>350</v>
      </c>
      <c r="H38" s="38"/>
      <c r="I38" s="37">
        <v>350</v>
      </c>
      <c r="J38" s="38"/>
      <c r="K38" s="245">
        <v>350</v>
      </c>
      <c r="L38" s="246"/>
      <c r="M38" s="245">
        <v>350</v>
      </c>
      <c r="N38" s="246"/>
      <c r="O38" s="16"/>
    </row>
    <row r="39" spans="1:15" ht="12.75">
      <c r="A39" s="17"/>
      <c r="B39" s="45"/>
      <c r="C39" s="45">
        <v>3</v>
      </c>
      <c r="D39" s="19" t="s">
        <v>50</v>
      </c>
      <c r="E39" s="28">
        <v>446</v>
      </c>
      <c r="F39" s="23"/>
      <c r="G39" s="28">
        <v>446</v>
      </c>
      <c r="H39" s="23"/>
      <c r="I39" s="28">
        <v>446</v>
      </c>
      <c r="J39" s="23"/>
      <c r="K39" s="240">
        <f>446-112</f>
        <v>334</v>
      </c>
      <c r="L39" s="243"/>
      <c r="M39" s="240">
        <f>446-112</f>
        <v>334</v>
      </c>
      <c r="N39" s="243"/>
      <c r="O39" s="16"/>
    </row>
    <row r="40" spans="1:15" ht="12.75">
      <c r="A40" s="21"/>
      <c r="B40" s="46"/>
      <c r="C40" s="46">
        <v>4</v>
      </c>
      <c r="D40" s="26" t="s">
        <v>51</v>
      </c>
      <c r="E40" s="47">
        <f>120+418</f>
        <v>538</v>
      </c>
      <c r="F40" s="40"/>
      <c r="G40" s="47">
        <f>120+418</f>
        <v>538</v>
      </c>
      <c r="H40" s="40"/>
      <c r="I40" s="47">
        <f>120+418</f>
        <v>538</v>
      </c>
      <c r="J40" s="40"/>
      <c r="K40" s="247">
        <v>3535</v>
      </c>
      <c r="L40" s="248"/>
      <c r="M40" s="247">
        <v>3535</v>
      </c>
      <c r="N40" s="248"/>
      <c r="O40" s="16"/>
    </row>
    <row r="41" spans="1:15" ht="13.5" thickBot="1">
      <c r="A41" s="29"/>
      <c r="B41" s="48"/>
      <c r="C41" s="48"/>
      <c r="D41" s="31" t="s">
        <v>23</v>
      </c>
      <c r="E41" s="32"/>
      <c r="F41" s="41">
        <f>SUM(E37:E40)</f>
        <v>1418</v>
      </c>
      <c r="G41" s="32"/>
      <c r="H41" s="41">
        <f>SUM(G37:G40)</f>
        <v>1468</v>
      </c>
      <c r="I41" s="32"/>
      <c r="J41" s="41">
        <f>SUM(I37:I40)</f>
        <v>1468</v>
      </c>
      <c r="K41" s="244"/>
      <c r="L41" s="241">
        <f>SUM(K37:K40)</f>
        <v>4353</v>
      </c>
      <c r="M41" s="244"/>
      <c r="N41" s="241">
        <f>SUM(M37:M40)</f>
        <v>4353</v>
      </c>
      <c r="O41" s="16"/>
    </row>
    <row r="42" spans="1:15" ht="13.5" thickBot="1">
      <c r="A42" s="49" t="s">
        <v>52</v>
      </c>
      <c r="B42" s="50" t="s">
        <v>53</v>
      </c>
      <c r="C42" s="50"/>
      <c r="D42" s="51"/>
      <c r="E42" s="52">
        <v>1100</v>
      </c>
      <c r="F42" s="53">
        <f>SUM(E42)</f>
        <v>1100</v>
      </c>
      <c r="G42" s="52">
        <v>1500</v>
      </c>
      <c r="H42" s="53">
        <f>SUM(G42)</f>
        <v>1500</v>
      </c>
      <c r="I42" s="52">
        <v>1650</v>
      </c>
      <c r="J42" s="53">
        <f>SUM(I42)</f>
        <v>1650</v>
      </c>
      <c r="K42" s="250">
        <v>1300</v>
      </c>
      <c r="L42" s="251">
        <f>SUM(K42)</f>
        <v>1300</v>
      </c>
      <c r="M42" s="250">
        <v>1300</v>
      </c>
      <c r="N42" s="251">
        <f>SUM(M42)</f>
        <v>1300</v>
      </c>
      <c r="O42" s="16"/>
    </row>
    <row r="43" spans="1:15" ht="13.5" thickBot="1">
      <c r="A43" s="49" t="s">
        <v>54</v>
      </c>
      <c r="B43" s="50" t="s">
        <v>55</v>
      </c>
      <c r="C43" s="50"/>
      <c r="D43" s="51"/>
      <c r="E43" s="52">
        <v>400</v>
      </c>
      <c r="F43" s="53">
        <f>SUM(E43)</f>
        <v>400</v>
      </c>
      <c r="G43" s="52">
        <v>400</v>
      </c>
      <c r="H43" s="53">
        <f>SUM(G43)</f>
        <v>400</v>
      </c>
      <c r="I43" s="52">
        <v>400</v>
      </c>
      <c r="J43" s="53">
        <f>SUM(I43)</f>
        <v>400</v>
      </c>
      <c r="K43" s="250">
        <v>500</v>
      </c>
      <c r="L43" s="251">
        <f>SUM(K43)</f>
        <v>500</v>
      </c>
      <c r="M43" s="274">
        <v>750</v>
      </c>
      <c r="N43" s="251">
        <f>SUM(M43)</f>
        <v>750</v>
      </c>
      <c r="O43" s="16"/>
    </row>
    <row r="44" spans="1:15" ht="12.75">
      <c r="A44" s="35" t="s">
        <v>56</v>
      </c>
      <c r="B44" s="44" t="s">
        <v>57</v>
      </c>
      <c r="C44" s="44">
        <v>1</v>
      </c>
      <c r="D44" s="24" t="s">
        <v>58</v>
      </c>
      <c r="E44" s="37">
        <v>650</v>
      </c>
      <c r="F44" s="38"/>
      <c r="G44" s="37">
        <v>700</v>
      </c>
      <c r="H44" s="38"/>
      <c r="I44" s="37">
        <f>713+92+50</f>
        <v>855</v>
      </c>
      <c r="J44" s="38"/>
      <c r="K44" s="245">
        <v>850</v>
      </c>
      <c r="L44" s="246"/>
      <c r="M44" s="245">
        <v>850</v>
      </c>
      <c r="N44" s="246"/>
      <c r="O44" s="16"/>
    </row>
    <row r="45" spans="1:15" ht="12.75">
      <c r="A45" s="35"/>
      <c r="B45" s="44"/>
      <c r="C45" s="44">
        <f>+C44+1</f>
        <v>2</v>
      </c>
      <c r="D45" s="24" t="s">
        <v>59</v>
      </c>
      <c r="E45" s="37">
        <v>1050</v>
      </c>
      <c r="F45" s="38"/>
      <c r="G45" s="37">
        <v>1050</v>
      </c>
      <c r="H45" s="38"/>
      <c r="I45" s="37">
        <v>1050</v>
      </c>
      <c r="J45" s="38"/>
      <c r="K45" s="245">
        <v>950</v>
      </c>
      <c r="L45" s="246"/>
      <c r="M45" s="245">
        <v>950</v>
      </c>
      <c r="N45" s="246"/>
      <c r="O45" s="16"/>
    </row>
    <row r="46" spans="1:15" ht="12.75">
      <c r="A46" s="35"/>
      <c r="B46" s="44"/>
      <c r="C46" s="44">
        <f>+C45+1</f>
        <v>3</v>
      </c>
      <c r="D46" s="24" t="s">
        <v>60</v>
      </c>
      <c r="E46" s="37">
        <v>550</v>
      </c>
      <c r="F46" s="38"/>
      <c r="G46" s="37">
        <v>550</v>
      </c>
      <c r="H46" s="38"/>
      <c r="I46" s="37">
        <v>550</v>
      </c>
      <c r="J46" s="38"/>
      <c r="K46" s="245">
        <v>290</v>
      </c>
      <c r="L46" s="246"/>
      <c r="M46" s="245">
        <v>290</v>
      </c>
      <c r="N46" s="246"/>
      <c r="O46" s="16"/>
    </row>
    <row r="47" spans="1:15" ht="12.75">
      <c r="A47" s="35"/>
      <c r="B47" s="44"/>
      <c r="C47" s="44">
        <f>+C46+1</f>
        <v>4</v>
      </c>
      <c r="D47" s="19" t="s">
        <v>61</v>
      </c>
      <c r="E47" s="28">
        <v>762</v>
      </c>
      <c r="F47" s="38"/>
      <c r="G47" s="28">
        <v>762</v>
      </c>
      <c r="H47" s="38"/>
      <c r="I47" s="28">
        <v>762</v>
      </c>
      <c r="J47" s="38"/>
      <c r="K47" s="240">
        <v>950</v>
      </c>
      <c r="L47" s="246"/>
      <c r="M47" s="271">
        <v>1100.3</v>
      </c>
      <c r="N47" s="246"/>
      <c r="O47" s="16"/>
    </row>
    <row r="48" spans="1:15" ht="13.5" thickBot="1">
      <c r="A48" s="29"/>
      <c r="B48" s="48"/>
      <c r="C48" s="48"/>
      <c r="D48" s="31" t="s">
        <v>23</v>
      </c>
      <c r="E48" s="32"/>
      <c r="F48" s="41">
        <f>SUM(E44:E47)</f>
        <v>3012</v>
      </c>
      <c r="G48" s="32"/>
      <c r="H48" s="41">
        <f>SUM(G44:G47)</f>
        <v>3062</v>
      </c>
      <c r="I48" s="32"/>
      <c r="J48" s="41">
        <f>SUM(I44:I47)</f>
        <v>3217</v>
      </c>
      <c r="K48" s="244"/>
      <c r="L48" s="241">
        <f>SUM(K44:K47)</f>
        <v>3040</v>
      </c>
      <c r="M48" s="244"/>
      <c r="N48" s="241">
        <f>SUM(M44:M47)</f>
        <v>3190.3</v>
      </c>
      <c r="O48" s="16"/>
    </row>
    <row r="49" spans="1:15" ht="13.5" thickBot="1">
      <c r="A49" s="54" t="s">
        <v>62</v>
      </c>
      <c r="B49" s="50" t="s">
        <v>63</v>
      </c>
      <c r="C49" s="50"/>
      <c r="D49" s="51"/>
      <c r="E49" s="55">
        <v>610</v>
      </c>
      <c r="F49" s="53">
        <f>SUM(E49)</f>
        <v>610</v>
      </c>
      <c r="G49" s="55">
        <v>610</v>
      </c>
      <c r="H49" s="53">
        <f>SUM(G49)</f>
        <v>610</v>
      </c>
      <c r="I49" s="55">
        <v>610</v>
      </c>
      <c r="J49" s="53">
        <f>SUM(I49)</f>
        <v>610</v>
      </c>
      <c r="K49" s="250">
        <v>630</v>
      </c>
      <c r="L49" s="251">
        <f>SUM(K49)</f>
        <v>630</v>
      </c>
      <c r="M49" s="250">
        <v>630</v>
      </c>
      <c r="N49" s="251">
        <f>SUM(M49)</f>
        <v>630</v>
      </c>
      <c r="O49" s="16"/>
    </row>
    <row r="50" spans="1:15" ht="12.75">
      <c r="A50" s="56"/>
      <c r="B50" s="43" t="s">
        <v>64</v>
      </c>
      <c r="C50" s="43"/>
      <c r="D50" s="13"/>
      <c r="E50" s="42"/>
      <c r="F50" s="57">
        <f>SUM(F3:F49)</f>
        <v>62678.3</v>
      </c>
      <c r="G50" s="42"/>
      <c r="H50" s="57">
        <f>SUM(H3:H49)</f>
        <v>63271.3</v>
      </c>
      <c r="I50" s="42"/>
      <c r="J50" s="57">
        <f>SUM(J3:J49)</f>
        <v>64560.3</v>
      </c>
      <c r="K50" s="249"/>
      <c r="L50" s="233">
        <f>SUM(L3:L49)</f>
        <v>85165</v>
      </c>
      <c r="M50" s="249"/>
      <c r="N50" s="233">
        <f>SUM(N3:N49)</f>
        <v>88395</v>
      </c>
      <c r="O50" s="58"/>
    </row>
    <row r="51" spans="1:16" ht="13.5" thickBot="1">
      <c r="A51" s="59"/>
      <c r="B51" s="48" t="s">
        <v>65</v>
      </c>
      <c r="C51" s="48"/>
      <c r="D51" s="31"/>
      <c r="E51" s="32"/>
      <c r="F51" s="60">
        <f>+F50-610</f>
        <v>62068.3</v>
      </c>
      <c r="G51" s="32"/>
      <c r="H51" s="60">
        <f>+H50-610</f>
        <v>62661.3</v>
      </c>
      <c r="I51" s="32"/>
      <c r="J51" s="60">
        <f>+J50-610</f>
        <v>63950.3</v>
      </c>
      <c r="K51" s="244"/>
      <c r="L51" s="234">
        <f>+L50-630</f>
        <v>84535</v>
      </c>
      <c r="M51" s="244"/>
      <c r="N51" s="234">
        <f>+N50-630</f>
        <v>87765</v>
      </c>
      <c r="O51" s="27">
        <f>+N51-N36-O13</f>
        <v>72840.3</v>
      </c>
      <c r="P51" t="s">
        <v>66</v>
      </c>
    </row>
    <row r="52" spans="1:15" ht="18.75" thickBot="1">
      <c r="A52" s="1" t="s">
        <v>67</v>
      </c>
      <c r="B52" s="61"/>
      <c r="C52" s="61"/>
      <c r="D52" s="61"/>
      <c r="E52" s="279" t="s">
        <v>1</v>
      </c>
      <c r="F52" s="280"/>
      <c r="G52" s="279" t="s">
        <v>2</v>
      </c>
      <c r="H52" s="280"/>
      <c r="I52" s="279" t="s">
        <v>3</v>
      </c>
      <c r="J52" s="280"/>
      <c r="K52" s="277" t="s">
        <v>199</v>
      </c>
      <c r="L52" s="278"/>
      <c r="M52" s="277" t="s">
        <v>200</v>
      </c>
      <c r="N52" s="278"/>
      <c r="O52" s="3"/>
    </row>
    <row r="53" spans="1:15" ht="13.5" thickBot="1">
      <c r="A53" s="62" t="s">
        <v>4</v>
      </c>
      <c r="B53" s="63" t="s">
        <v>5</v>
      </c>
      <c r="C53" s="63" t="s">
        <v>6</v>
      </c>
      <c r="D53" s="64" t="s">
        <v>7</v>
      </c>
      <c r="E53" s="65"/>
      <c r="F53" s="66" t="s">
        <v>8</v>
      </c>
      <c r="G53" s="65"/>
      <c r="H53" s="66" t="s">
        <v>8</v>
      </c>
      <c r="I53" s="65"/>
      <c r="J53" s="66" t="s">
        <v>8</v>
      </c>
      <c r="K53" s="65"/>
      <c r="L53" s="66" t="s">
        <v>8</v>
      </c>
      <c r="M53" s="65"/>
      <c r="N53" s="66" t="s">
        <v>8</v>
      </c>
      <c r="O53" s="67"/>
    </row>
    <row r="54" spans="1:15" ht="12.75">
      <c r="A54" s="11" t="s">
        <v>9</v>
      </c>
      <c r="B54" s="43" t="s">
        <v>68</v>
      </c>
      <c r="C54" s="43">
        <v>1</v>
      </c>
      <c r="D54" s="13" t="s">
        <v>197</v>
      </c>
      <c r="E54" s="68">
        <v>2627</v>
      </c>
      <c r="F54" s="69"/>
      <c r="G54" s="68">
        <v>2627</v>
      </c>
      <c r="H54" s="69"/>
      <c r="I54" s="68">
        <v>2627</v>
      </c>
      <c r="J54" s="69"/>
      <c r="K54" s="252">
        <v>2700</v>
      </c>
      <c r="L54" s="253"/>
      <c r="M54" s="252">
        <v>2700</v>
      </c>
      <c r="N54" s="253"/>
      <c r="O54" s="70"/>
    </row>
    <row r="55" spans="1:15" ht="12.75">
      <c r="A55" s="35"/>
      <c r="B55" s="44"/>
      <c r="C55" s="44">
        <f>+C54+1</f>
        <v>2</v>
      </c>
      <c r="D55" s="24" t="s">
        <v>143</v>
      </c>
      <c r="E55" s="72">
        <v>250</v>
      </c>
      <c r="F55" s="73"/>
      <c r="G55" s="72">
        <v>250</v>
      </c>
      <c r="H55" s="73"/>
      <c r="I55" s="72">
        <v>250</v>
      </c>
      <c r="J55" s="73"/>
      <c r="K55" s="254">
        <v>750</v>
      </c>
      <c r="L55" s="255"/>
      <c r="M55" s="272">
        <f>100+950</f>
        <v>1050</v>
      </c>
      <c r="N55" s="255"/>
      <c r="O55" s="70"/>
    </row>
    <row r="56" spans="1:15" ht="12.75">
      <c r="A56" s="17"/>
      <c r="B56" s="45"/>
      <c r="C56" s="44">
        <f aca="true" t="shared" si="2" ref="C56:C61">+C55+1</f>
        <v>3</v>
      </c>
      <c r="D56" s="19" t="s">
        <v>69</v>
      </c>
      <c r="E56" s="72">
        <v>542</v>
      </c>
      <c r="F56" s="73"/>
      <c r="G56" s="72">
        <v>542</v>
      </c>
      <c r="H56" s="73"/>
      <c r="I56" s="72">
        <v>542</v>
      </c>
      <c r="J56" s="73"/>
      <c r="K56" s="254">
        <v>542</v>
      </c>
      <c r="L56" s="255"/>
      <c r="M56" s="254">
        <v>542</v>
      </c>
      <c r="N56" s="255"/>
      <c r="O56" s="70"/>
    </row>
    <row r="57" spans="1:15" ht="12.75">
      <c r="A57" s="17"/>
      <c r="B57" s="45"/>
      <c r="C57" s="44">
        <f t="shared" si="2"/>
        <v>4</v>
      </c>
      <c r="D57" s="19" t="s">
        <v>70</v>
      </c>
      <c r="E57" s="72">
        <v>0</v>
      </c>
      <c r="F57" s="74"/>
      <c r="G57" s="72">
        <v>0</v>
      </c>
      <c r="H57" s="74"/>
      <c r="I57" s="72">
        <v>925</v>
      </c>
      <c r="J57" s="74"/>
      <c r="K57" s="254">
        <v>0</v>
      </c>
      <c r="L57" s="255"/>
      <c r="M57" s="254">
        <v>0</v>
      </c>
      <c r="N57" s="255"/>
      <c r="O57" s="75"/>
    </row>
    <row r="58" spans="1:15" ht="12.75">
      <c r="A58" s="17"/>
      <c r="B58" s="45"/>
      <c r="C58" s="44">
        <f t="shared" si="2"/>
        <v>5</v>
      </c>
      <c r="D58" s="19" t="s">
        <v>71</v>
      </c>
      <c r="E58" s="72">
        <v>306</v>
      </c>
      <c r="F58" s="73"/>
      <c r="G58" s="72">
        <v>306</v>
      </c>
      <c r="H58" s="73"/>
      <c r="I58" s="72">
        <v>306</v>
      </c>
      <c r="J58" s="73"/>
      <c r="K58" s="254">
        <v>306</v>
      </c>
      <c r="L58" s="255"/>
      <c r="M58" s="272">
        <f>306+35</f>
        <v>341</v>
      </c>
      <c r="N58" s="255"/>
      <c r="O58" s="70"/>
    </row>
    <row r="59" spans="1:15" ht="12.75">
      <c r="A59" s="17"/>
      <c r="B59" s="45"/>
      <c r="C59" s="44">
        <f t="shared" si="2"/>
        <v>6</v>
      </c>
      <c r="D59" s="19" t="s">
        <v>72</v>
      </c>
      <c r="E59" s="72">
        <v>377</v>
      </c>
      <c r="F59" s="73"/>
      <c r="G59" s="72">
        <v>377</v>
      </c>
      <c r="H59" s="73"/>
      <c r="I59" s="72">
        <f>377+9</f>
        <v>386</v>
      </c>
      <c r="J59" s="73"/>
      <c r="K59" s="254">
        <v>380</v>
      </c>
      <c r="L59" s="255"/>
      <c r="M59" s="254">
        <v>380</v>
      </c>
      <c r="N59" s="255"/>
      <c r="O59" s="70"/>
    </row>
    <row r="60" spans="1:15" ht="12.75">
      <c r="A60" s="17"/>
      <c r="B60" s="45"/>
      <c r="C60" s="44">
        <f t="shared" si="2"/>
        <v>7</v>
      </c>
      <c r="D60" s="19" t="s">
        <v>73</v>
      </c>
      <c r="E60" s="72">
        <v>789</v>
      </c>
      <c r="F60" s="73"/>
      <c r="G60" s="72">
        <v>789</v>
      </c>
      <c r="H60" s="73"/>
      <c r="I60" s="72">
        <v>789</v>
      </c>
      <c r="J60" s="73"/>
      <c r="K60" s="254">
        <v>832</v>
      </c>
      <c r="L60" s="255"/>
      <c r="M60" s="272">
        <f>832+215</f>
        <v>1047</v>
      </c>
      <c r="N60" s="255"/>
      <c r="O60" s="70"/>
    </row>
    <row r="61" spans="1:15" ht="12.75">
      <c r="A61" s="21"/>
      <c r="B61" s="46"/>
      <c r="C61" s="44">
        <f t="shared" si="2"/>
        <v>8</v>
      </c>
      <c r="D61" s="26" t="s">
        <v>74</v>
      </c>
      <c r="E61" s="72">
        <v>181</v>
      </c>
      <c r="F61" s="73"/>
      <c r="G61" s="72">
        <v>181</v>
      </c>
      <c r="H61" s="73"/>
      <c r="I61" s="72">
        <v>181</v>
      </c>
      <c r="J61" s="73"/>
      <c r="K61" s="254">
        <v>181</v>
      </c>
      <c r="L61" s="255"/>
      <c r="M61" s="254">
        <v>181</v>
      </c>
      <c r="N61" s="255"/>
      <c r="O61" s="70"/>
    </row>
    <row r="62" spans="1:15" ht="13.5" thickBot="1">
      <c r="A62" s="21"/>
      <c r="B62" s="46"/>
      <c r="C62" s="46"/>
      <c r="D62" s="26" t="s">
        <v>23</v>
      </c>
      <c r="E62" s="76"/>
      <c r="F62" s="77">
        <f>SUM(E54:E61)</f>
        <v>5072</v>
      </c>
      <c r="G62" s="76"/>
      <c r="H62" s="77">
        <f>SUM(G54:G61)</f>
        <v>5072</v>
      </c>
      <c r="I62" s="76"/>
      <c r="J62" s="77">
        <f>SUM(I54:I61)</f>
        <v>6006</v>
      </c>
      <c r="K62" s="256"/>
      <c r="L62" s="257">
        <f>SUM(K54:K61)</f>
        <v>5691</v>
      </c>
      <c r="M62" s="256"/>
      <c r="N62" s="257">
        <f>SUM(M54:M61)</f>
        <v>6241</v>
      </c>
      <c r="O62" s="78"/>
    </row>
    <row r="63" spans="1:15" ht="12.75">
      <c r="A63" s="11" t="s">
        <v>18</v>
      </c>
      <c r="B63" s="43" t="s">
        <v>75</v>
      </c>
      <c r="C63" s="43">
        <v>1</v>
      </c>
      <c r="D63" s="13" t="s">
        <v>76</v>
      </c>
      <c r="E63" s="68">
        <f>25398-22-1407+350</f>
        <v>24319</v>
      </c>
      <c r="F63" s="79"/>
      <c r="G63" s="68">
        <f>25398-22-1407+350</f>
        <v>24319</v>
      </c>
      <c r="H63" s="79"/>
      <c r="I63" s="68">
        <f>25398-22-1407+350</f>
        <v>24319</v>
      </c>
      <c r="J63" s="79"/>
      <c r="K63" s="252">
        <f>1810+630+21916+1640</f>
        <v>25996</v>
      </c>
      <c r="L63" s="253"/>
      <c r="M63" s="270">
        <f>1810+630+21916+1640+576-100</f>
        <v>26472</v>
      </c>
      <c r="N63" s="253"/>
      <c r="O63" s="80"/>
    </row>
    <row r="64" spans="1:15" ht="12.75">
      <c r="A64" s="17"/>
      <c r="B64" s="45"/>
      <c r="C64" s="45">
        <v>2</v>
      </c>
      <c r="D64" s="19" t="s">
        <v>77</v>
      </c>
      <c r="E64" s="72">
        <v>820</v>
      </c>
      <c r="F64" s="81"/>
      <c r="G64" s="72">
        <v>820</v>
      </c>
      <c r="H64" s="81"/>
      <c r="I64" s="72">
        <v>845</v>
      </c>
      <c r="J64" s="81"/>
      <c r="K64" s="254">
        <v>930</v>
      </c>
      <c r="L64" s="255"/>
      <c r="M64" s="254">
        <v>930</v>
      </c>
      <c r="N64" s="255"/>
      <c r="O64" s="80"/>
    </row>
    <row r="65" spans="1:15" ht="13.5" thickBot="1">
      <c r="A65" s="29"/>
      <c r="B65" s="48"/>
      <c r="C65" s="48"/>
      <c r="D65" s="31" t="s">
        <v>8</v>
      </c>
      <c r="E65" s="82"/>
      <c r="F65" s="83">
        <f>SUM(E63:E64)</f>
        <v>25139</v>
      </c>
      <c r="G65" s="82"/>
      <c r="H65" s="83">
        <f>SUM(G63:G64)</f>
        <v>25139</v>
      </c>
      <c r="I65" s="82"/>
      <c r="J65" s="83">
        <f>SUM(I63:I64)</f>
        <v>25164</v>
      </c>
      <c r="K65" s="256"/>
      <c r="L65" s="258">
        <f>SUM(K63:K64)</f>
        <v>26926</v>
      </c>
      <c r="M65" s="256"/>
      <c r="N65" s="258">
        <f>SUM(M63:M64)</f>
        <v>27402</v>
      </c>
      <c r="O65" s="80"/>
    </row>
    <row r="66" spans="1:15" ht="12.75">
      <c r="A66" s="35" t="s">
        <v>24</v>
      </c>
      <c r="B66" s="44" t="s">
        <v>78</v>
      </c>
      <c r="C66" s="44">
        <v>1</v>
      </c>
      <c r="D66" s="24" t="s">
        <v>79</v>
      </c>
      <c r="E66" s="68">
        <v>1000</v>
      </c>
      <c r="F66" s="69"/>
      <c r="G66" s="68">
        <v>1000</v>
      </c>
      <c r="H66" s="69"/>
      <c r="I66" s="68">
        <v>1000</v>
      </c>
      <c r="J66" s="69"/>
      <c r="K66" s="252">
        <f>120+980</f>
        <v>1100</v>
      </c>
      <c r="L66" s="253"/>
      <c r="M66" s="252">
        <f>120+980</f>
        <v>1100</v>
      </c>
      <c r="N66" s="253"/>
      <c r="O66" s="70"/>
    </row>
    <row r="67" spans="1:15" ht="12.75">
      <c r="A67" s="17"/>
      <c r="B67" s="45"/>
      <c r="C67" s="45">
        <f>+C66+1</f>
        <v>2</v>
      </c>
      <c r="D67" s="19" t="s">
        <v>80</v>
      </c>
      <c r="E67" s="72">
        <f>750*0.95+0.5</f>
        <v>713</v>
      </c>
      <c r="F67" s="73"/>
      <c r="G67" s="72">
        <f>323+750*0.95+0.5</f>
        <v>1036</v>
      </c>
      <c r="H67" s="73"/>
      <c r="I67" s="72">
        <f>323+750*0.95+0.5</f>
        <v>1036</v>
      </c>
      <c r="J67" s="73"/>
      <c r="K67" s="254">
        <f>750.3+301.7</f>
        <v>1052</v>
      </c>
      <c r="L67" s="255"/>
      <c r="M67" s="254">
        <f>750.3+301.7</f>
        <v>1052</v>
      </c>
      <c r="N67" s="255"/>
      <c r="O67" s="70"/>
    </row>
    <row r="68" spans="1:15" ht="12.75">
      <c r="A68" s="17"/>
      <c r="B68" s="45"/>
      <c r="C68" s="45">
        <f>+C67+1</f>
        <v>3</v>
      </c>
      <c r="D68" s="19" t="s">
        <v>81</v>
      </c>
      <c r="E68" s="72"/>
      <c r="F68" s="73"/>
      <c r="G68" s="72"/>
      <c r="H68" s="73"/>
      <c r="I68" s="72"/>
      <c r="J68" s="73"/>
      <c r="K68" s="254">
        <v>200</v>
      </c>
      <c r="L68" s="255"/>
      <c r="M68" s="254">
        <v>200</v>
      </c>
      <c r="N68" s="255"/>
      <c r="O68" s="70"/>
    </row>
    <row r="69" spans="1:15" ht="12.75">
      <c r="A69" s="17"/>
      <c r="B69" s="45"/>
      <c r="C69" s="45">
        <f>+C68+1</f>
        <v>4</v>
      </c>
      <c r="D69" s="19" t="s">
        <v>196</v>
      </c>
      <c r="E69" s="72">
        <v>360</v>
      </c>
      <c r="F69" s="73"/>
      <c r="G69" s="72">
        <v>360</v>
      </c>
      <c r="H69" s="73"/>
      <c r="I69" s="72">
        <v>360</v>
      </c>
      <c r="J69" s="73"/>
      <c r="K69" s="254">
        <v>400</v>
      </c>
      <c r="L69" s="255"/>
      <c r="M69" s="254">
        <v>400</v>
      </c>
      <c r="N69" s="255"/>
      <c r="O69" s="70"/>
    </row>
    <row r="70" spans="1:15" ht="12.75">
      <c r="A70" s="17"/>
      <c r="B70" s="45"/>
      <c r="C70" s="45">
        <f>+C69+1</f>
        <v>5</v>
      </c>
      <c r="D70" s="19" t="s">
        <v>134</v>
      </c>
      <c r="E70" s="72"/>
      <c r="F70" s="73"/>
      <c r="G70" s="72"/>
      <c r="H70" s="73"/>
      <c r="I70" s="72"/>
      <c r="J70" s="73"/>
      <c r="K70" s="254">
        <v>200</v>
      </c>
      <c r="L70" s="255"/>
      <c r="M70" s="254">
        <v>200</v>
      </c>
      <c r="N70" s="255"/>
      <c r="O70" s="70"/>
    </row>
    <row r="71" spans="1:15" ht="12.75">
      <c r="A71" s="17"/>
      <c r="B71" s="45"/>
      <c r="C71" s="45">
        <f>+C70+1</f>
        <v>6</v>
      </c>
      <c r="D71" s="19" t="s">
        <v>82</v>
      </c>
      <c r="E71" s="84">
        <v>320</v>
      </c>
      <c r="F71" s="73"/>
      <c r="G71" s="84">
        <v>320</v>
      </c>
      <c r="H71" s="73"/>
      <c r="I71" s="84">
        <v>320</v>
      </c>
      <c r="J71" s="73"/>
      <c r="K71" s="254">
        <v>400</v>
      </c>
      <c r="L71" s="255"/>
      <c r="M71" s="254">
        <v>550</v>
      </c>
      <c r="N71" s="255" t="s">
        <v>205</v>
      </c>
      <c r="O71" s="70"/>
    </row>
    <row r="72" spans="1:15" ht="13.5" thickBot="1">
      <c r="A72" s="21"/>
      <c r="B72" s="46"/>
      <c r="C72" s="46"/>
      <c r="D72" s="26" t="s">
        <v>23</v>
      </c>
      <c r="E72" s="85"/>
      <c r="F72" s="86">
        <f>SUM(E66:E71)</f>
        <v>2393</v>
      </c>
      <c r="G72" s="85"/>
      <c r="H72" s="86">
        <f>SUM(G66:G71)</f>
        <v>2716</v>
      </c>
      <c r="I72" s="85"/>
      <c r="J72" s="86">
        <f>SUM(I66:I71)</f>
        <v>2716</v>
      </c>
      <c r="K72" s="259"/>
      <c r="L72" s="260">
        <f>SUM(K66:K71)</f>
        <v>3352</v>
      </c>
      <c r="M72" s="259"/>
      <c r="N72" s="260">
        <f>SUM(M66:M71)</f>
        <v>3502</v>
      </c>
      <c r="O72" s="80"/>
    </row>
    <row r="73" spans="1:15" ht="12.75">
      <c r="A73" s="11" t="s">
        <v>40</v>
      </c>
      <c r="B73" s="87" t="s">
        <v>83</v>
      </c>
      <c r="C73" s="43">
        <v>1</v>
      </c>
      <c r="D73" s="13" t="s">
        <v>131</v>
      </c>
      <c r="E73" s="88">
        <v>29500</v>
      </c>
      <c r="F73" s="69"/>
      <c r="G73" s="88">
        <f>29540-2911</f>
        <v>26629</v>
      </c>
      <c r="H73" s="69"/>
      <c r="I73" s="88">
        <f>26100+555</f>
        <v>26655</v>
      </c>
      <c r="J73" s="69"/>
      <c r="K73" s="252">
        <v>800</v>
      </c>
      <c r="L73" s="253"/>
      <c r="M73" s="252">
        <v>800</v>
      </c>
      <c r="N73" s="253"/>
      <c r="O73" s="70"/>
    </row>
    <row r="74" spans="1:15" ht="12.75">
      <c r="A74" s="21"/>
      <c r="B74" s="46"/>
      <c r="C74" s="44">
        <f>C73+1</f>
        <v>2</v>
      </c>
      <c r="D74" s="19" t="s">
        <v>84</v>
      </c>
      <c r="E74" s="85"/>
      <c r="F74" s="89"/>
      <c r="G74" s="85">
        <v>100</v>
      </c>
      <c r="H74" s="89"/>
      <c r="I74" s="85">
        <v>0</v>
      </c>
      <c r="J74" s="89"/>
      <c r="K74" s="259">
        <v>0</v>
      </c>
      <c r="L74" s="261"/>
      <c r="M74" s="259">
        <v>0</v>
      </c>
      <c r="N74" s="261"/>
      <c r="O74" s="70"/>
    </row>
    <row r="75" spans="1:15" ht="12.75">
      <c r="A75" s="21"/>
      <c r="B75" s="46"/>
      <c r="C75" s="44">
        <f aca="true" t="shared" si="3" ref="C75:C88">+C74+1</f>
        <v>3</v>
      </c>
      <c r="D75" s="19" t="s">
        <v>124</v>
      </c>
      <c r="E75" s="85"/>
      <c r="F75" s="89"/>
      <c r="G75" s="85"/>
      <c r="H75" s="89"/>
      <c r="I75" s="85">
        <v>330</v>
      </c>
      <c r="J75" s="89"/>
      <c r="K75" s="259">
        <v>850</v>
      </c>
      <c r="L75" s="261"/>
      <c r="M75" s="273">
        <v>1100</v>
      </c>
      <c r="N75" s="261"/>
      <c r="O75" s="70"/>
    </row>
    <row r="76" spans="1:15" ht="12.75">
      <c r="A76" s="21"/>
      <c r="B76" s="46"/>
      <c r="C76" s="44">
        <f t="shared" si="3"/>
        <v>4</v>
      </c>
      <c r="D76" s="19" t="s">
        <v>139</v>
      </c>
      <c r="E76" s="85"/>
      <c r="F76" s="89"/>
      <c r="G76" s="85"/>
      <c r="H76" s="89"/>
      <c r="I76" s="85"/>
      <c r="J76" s="89"/>
      <c r="K76" s="259">
        <v>12600</v>
      </c>
      <c r="L76" s="261"/>
      <c r="M76" s="259">
        <v>12600</v>
      </c>
      <c r="N76" s="261"/>
      <c r="O76" s="70"/>
    </row>
    <row r="77" spans="1:15" ht="12.75">
      <c r="A77" s="21"/>
      <c r="B77" s="46"/>
      <c r="C77" s="44">
        <f t="shared" si="3"/>
        <v>5</v>
      </c>
      <c r="D77" s="19" t="s">
        <v>193</v>
      </c>
      <c r="E77" s="85"/>
      <c r="F77" s="89"/>
      <c r="G77" s="85"/>
      <c r="H77" s="89"/>
      <c r="I77" s="85"/>
      <c r="J77" s="89"/>
      <c r="K77" s="259">
        <f>211+489</f>
        <v>700</v>
      </c>
      <c r="L77" s="261"/>
      <c r="M77" s="273">
        <v>410</v>
      </c>
      <c r="N77" s="261"/>
      <c r="O77" s="70"/>
    </row>
    <row r="78" spans="1:15" ht="12.75">
      <c r="A78" s="21"/>
      <c r="B78" s="46"/>
      <c r="C78" s="44">
        <f t="shared" si="3"/>
        <v>6</v>
      </c>
      <c r="D78" s="19" t="s">
        <v>192</v>
      </c>
      <c r="E78" s="85"/>
      <c r="F78" s="89"/>
      <c r="G78" s="85"/>
      <c r="H78" s="89"/>
      <c r="I78" s="85"/>
      <c r="J78" s="89"/>
      <c r="K78" s="259">
        <v>2000</v>
      </c>
      <c r="L78" s="261"/>
      <c r="M78" s="259">
        <v>2000</v>
      </c>
      <c r="N78" s="261"/>
      <c r="O78" s="70"/>
    </row>
    <row r="79" spans="1:15" ht="12.75">
      <c r="A79" s="21"/>
      <c r="B79" s="46"/>
      <c r="C79" s="44">
        <f t="shared" si="3"/>
        <v>7</v>
      </c>
      <c r="D79" s="19" t="s">
        <v>204</v>
      </c>
      <c r="E79" s="85"/>
      <c r="F79" s="89"/>
      <c r="G79" s="85"/>
      <c r="H79" s="89"/>
      <c r="I79" s="85"/>
      <c r="J79" s="89"/>
      <c r="K79" s="259">
        <v>300</v>
      </c>
      <c r="L79" s="261"/>
      <c r="M79" s="273">
        <v>1630</v>
      </c>
      <c r="N79" s="261"/>
      <c r="O79" s="70"/>
    </row>
    <row r="80" spans="1:15" ht="12.75">
      <c r="A80" s="21"/>
      <c r="B80" s="46"/>
      <c r="C80" s="44">
        <f t="shared" si="3"/>
        <v>8</v>
      </c>
      <c r="D80" s="19" t="s">
        <v>198</v>
      </c>
      <c r="E80" s="85"/>
      <c r="F80" s="89"/>
      <c r="G80" s="85"/>
      <c r="H80" s="89"/>
      <c r="I80" s="85"/>
      <c r="J80" s="89"/>
      <c r="K80" s="259">
        <v>400</v>
      </c>
      <c r="L80" s="261"/>
      <c r="M80" s="259">
        <v>400</v>
      </c>
      <c r="N80" s="261"/>
      <c r="O80" s="70"/>
    </row>
    <row r="81" spans="1:15" ht="12.75">
      <c r="A81" s="21"/>
      <c r="B81" s="46"/>
      <c r="C81" s="44">
        <f t="shared" si="3"/>
        <v>9</v>
      </c>
      <c r="D81" s="19" t="s">
        <v>132</v>
      </c>
      <c r="E81" s="85"/>
      <c r="F81" s="89"/>
      <c r="G81" s="85"/>
      <c r="H81" s="89"/>
      <c r="I81" s="85"/>
      <c r="J81" s="89"/>
      <c r="K81" s="259">
        <v>600</v>
      </c>
      <c r="L81" s="261"/>
      <c r="M81" s="273">
        <v>900</v>
      </c>
      <c r="N81" s="261"/>
      <c r="O81" s="70"/>
    </row>
    <row r="82" spans="1:15" ht="12.75">
      <c r="A82" s="21"/>
      <c r="B82" s="46"/>
      <c r="C82" s="44">
        <f t="shared" si="3"/>
        <v>10</v>
      </c>
      <c r="D82" s="19" t="s">
        <v>195</v>
      </c>
      <c r="E82" s="85"/>
      <c r="F82" s="89"/>
      <c r="G82" s="85"/>
      <c r="H82" s="89"/>
      <c r="I82" s="85"/>
      <c r="J82" s="89"/>
      <c r="K82" s="259">
        <v>1350</v>
      </c>
      <c r="L82" s="261"/>
      <c r="M82" s="259">
        <v>1350</v>
      </c>
      <c r="N82" s="261"/>
      <c r="O82" s="70"/>
    </row>
    <row r="83" spans="1:15" ht="12.75">
      <c r="A83" s="21"/>
      <c r="B83" s="46"/>
      <c r="C83" s="44">
        <f t="shared" si="3"/>
        <v>11</v>
      </c>
      <c r="D83" s="19" t="s">
        <v>136</v>
      </c>
      <c r="E83" s="85"/>
      <c r="F83" s="89"/>
      <c r="G83" s="85"/>
      <c r="H83" s="89"/>
      <c r="I83" s="85"/>
      <c r="J83" s="89"/>
      <c r="K83" s="259">
        <v>100</v>
      </c>
      <c r="L83" s="261"/>
      <c r="M83" s="259">
        <v>100</v>
      </c>
      <c r="N83" s="261"/>
      <c r="O83" s="70"/>
    </row>
    <row r="84" spans="1:15" ht="12.75">
      <c r="A84" s="21"/>
      <c r="B84" s="46"/>
      <c r="C84" s="44">
        <f t="shared" si="3"/>
        <v>12</v>
      </c>
      <c r="D84" s="19" t="s">
        <v>194</v>
      </c>
      <c r="E84" s="85"/>
      <c r="F84" s="89"/>
      <c r="G84" s="85"/>
      <c r="H84" s="89"/>
      <c r="I84" s="85"/>
      <c r="J84" s="89"/>
      <c r="K84" s="259">
        <v>450</v>
      </c>
      <c r="L84" s="261"/>
      <c r="M84" s="259">
        <v>450</v>
      </c>
      <c r="N84" s="261"/>
      <c r="O84" s="70"/>
    </row>
    <row r="85" spans="1:15" ht="12.75">
      <c r="A85" s="21"/>
      <c r="B85" s="46"/>
      <c r="C85" s="44">
        <f t="shared" si="3"/>
        <v>13</v>
      </c>
      <c r="D85" s="19" t="s">
        <v>189</v>
      </c>
      <c r="E85" s="85"/>
      <c r="F85" s="89"/>
      <c r="G85" s="85"/>
      <c r="H85" s="89"/>
      <c r="I85" s="85"/>
      <c r="J85" s="89"/>
      <c r="K85" s="259">
        <v>450</v>
      </c>
      <c r="L85" s="261"/>
      <c r="M85" s="259">
        <v>450</v>
      </c>
      <c r="N85" s="261"/>
      <c r="O85" s="70"/>
    </row>
    <row r="86" spans="1:15" ht="12.75">
      <c r="A86" s="21"/>
      <c r="B86" s="46"/>
      <c r="C86" s="44">
        <f t="shared" si="3"/>
        <v>14</v>
      </c>
      <c r="D86" s="19" t="s">
        <v>190</v>
      </c>
      <c r="E86" s="85"/>
      <c r="F86" s="89"/>
      <c r="G86" s="85"/>
      <c r="H86" s="89"/>
      <c r="I86" s="85"/>
      <c r="J86" s="89"/>
      <c r="K86" s="259">
        <v>450</v>
      </c>
      <c r="L86" s="261"/>
      <c r="M86" s="259">
        <v>450</v>
      </c>
      <c r="N86" s="261"/>
      <c r="O86" s="70"/>
    </row>
    <row r="87" spans="1:15" ht="12.75">
      <c r="A87" s="21"/>
      <c r="B87" s="46"/>
      <c r="C87" s="44">
        <f t="shared" si="3"/>
        <v>15</v>
      </c>
      <c r="D87" s="19" t="s">
        <v>191</v>
      </c>
      <c r="E87" s="85"/>
      <c r="F87" s="89"/>
      <c r="G87" s="85"/>
      <c r="H87" s="89"/>
      <c r="I87" s="85"/>
      <c r="J87" s="89"/>
      <c r="K87" s="259">
        <v>350</v>
      </c>
      <c r="L87" s="261"/>
      <c r="M87" s="259">
        <v>350</v>
      </c>
      <c r="N87" s="261"/>
      <c r="O87" s="70"/>
    </row>
    <row r="88" spans="1:15" ht="12.75">
      <c r="A88" s="21"/>
      <c r="B88" s="46"/>
      <c r="C88" s="44">
        <f t="shared" si="3"/>
        <v>16</v>
      </c>
      <c r="D88" s="19" t="s">
        <v>85</v>
      </c>
      <c r="E88" s="85">
        <v>700</v>
      </c>
      <c r="F88" s="89"/>
      <c r="G88" s="85">
        <v>170</v>
      </c>
      <c r="H88" s="89"/>
      <c r="I88" s="85">
        <v>200</v>
      </c>
      <c r="J88" s="89"/>
      <c r="K88" s="259">
        <v>100</v>
      </c>
      <c r="L88" s="261"/>
      <c r="M88" s="273">
        <v>200</v>
      </c>
      <c r="N88" s="261"/>
      <c r="O88" s="70"/>
    </row>
    <row r="89" spans="1:15" ht="13.5" thickBot="1">
      <c r="A89" s="29"/>
      <c r="B89" s="48"/>
      <c r="C89" s="44"/>
      <c r="D89" s="90" t="s">
        <v>23</v>
      </c>
      <c r="E89" s="76"/>
      <c r="F89" s="91">
        <f>SUM(E73:E88)</f>
        <v>30200</v>
      </c>
      <c r="G89" s="76"/>
      <c r="H89" s="91">
        <f>SUM(G73:G88)</f>
        <v>26899</v>
      </c>
      <c r="I89" s="76"/>
      <c r="J89" s="91">
        <f>SUM(I73:I88)</f>
        <v>27185</v>
      </c>
      <c r="K89" s="256"/>
      <c r="L89" s="258">
        <f>SUM(K73:K88)</f>
        <v>21500</v>
      </c>
      <c r="M89" s="256"/>
      <c r="N89" s="258">
        <f>SUM(M73:M88)</f>
        <v>23190</v>
      </c>
      <c r="O89" s="70"/>
    </row>
    <row r="90" spans="1:15" ht="12.75">
      <c r="A90" s="11" t="s">
        <v>46</v>
      </c>
      <c r="B90" s="43" t="s">
        <v>86</v>
      </c>
      <c r="C90" s="43">
        <v>1</v>
      </c>
      <c r="D90" s="93" t="s">
        <v>87</v>
      </c>
      <c r="E90" s="94">
        <v>150</v>
      </c>
      <c r="F90" s="71"/>
      <c r="G90" s="94">
        <v>150</v>
      </c>
      <c r="H90" s="71"/>
      <c r="I90" s="94">
        <v>125</v>
      </c>
      <c r="J90" s="71"/>
      <c r="K90" s="262">
        <v>105</v>
      </c>
      <c r="L90" s="263"/>
      <c r="M90" s="262">
        <v>105</v>
      </c>
      <c r="N90" s="263"/>
      <c r="O90" s="70"/>
    </row>
    <row r="91" spans="1:15" ht="12.75">
      <c r="A91" s="17"/>
      <c r="B91" s="45"/>
      <c r="C91" s="45">
        <f aca="true" t="shared" si="4" ref="C91:C102">+C90+1</f>
        <v>2</v>
      </c>
      <c r="D91" s="19" t="s">
        <v>88</v>
      </c>
      <c r="E91" s="84">
        <v>400</v>
      </c>
      <c r="F91" s="73"/>
      <c r="G91" s="84">
        <v>400</v>
      </c>
      <c r="H91" s="73"/>
      <c r="I91" s="84">
        <v>300</v>
      </c>
      <c r="J91" s="73"/>
      <c r="K91" s="254">
        <v>600</v>
      </c>
      <c r="L91" s="255"/>
      <c r="M91" s="254">
        <v>600</v>
      </c>
      <c r="N91" s="255"/>
      <c r="O91" s="70"/>
    </row>
    <row r="92" spans="1:15" ht="12.75">
      <c r="A92" s="17"/>
      <c r="B92" s="45"/>
      <c r="C92" s="45">
        <f t="shared" si="4"/>
        <v>3</v>
      </c>
      <c r="D92" s="19" t="s">
        <v>89</v>
      </c>
      <c r="E92" s="84">
        <v>100</v>
      </c>
      <c r="F92" s="73"/>
      <c r="G92" s="84">
        <v>100</v>
      </c>
      <c r="H92" s="73"/>
      <c r="I92" s="84">
        <v>100</v>
      </c>
      <c r="J92" s="73"/>
      <c r="K92" s="254">
        <v>200</v>
      </c>
      <c r="L92" s="255"/>
      <c r="M92" s="254">
        <v>200</v>
      </c>
      <c r="N92" s="255"/>
      <c r="O92" s="70"/>
    </row>
    <row r="93" spans="1:15" ht="12.75">
      <c r="A93" s="17"/>
      <c r="B93" s="45"/>
      <c r="C93" s="45">
        <f t="shared" si="4"/>
        <v>4</v>
      </c>
      <c r="D93" s="19" t="s">
        <v>90</v>
      </c>
      <c r="E93" s="84">
        <v>360</v>
      </c>
      <c r="F93" s="73"/>
      <c r="G93" s="84">
        <v>360</v>
      </c>
      <c r="H93" s="73"/>
      <c r="I93" s="84">
        <v>300</v>
      </c>
      <c r="J93" s="73"/>
      <c r="K93" s="254">
        <v>450</v>
      </c>
      <c r="L93" s="255"/>
      <c r="M93" s="254">
        <v>450</v>
      </c>
      <c r="N93" s="255"/>
      <c r="O93" s="70"/>
    </row>
    <row r="94" spans="1:15" ht="12.75">
      <c r="A94" s="17"/>
      <c r="B94" s="45"/>
      <c r="C94" s="45">
        <f t="shared" si="4"/>
        <v>5</v>
      </c>
      <c r="D94" s="19" t="s">
        <v>142</v>
      </c>
      <c r="E94" s="84">
        <v>5290</v>
      </c>
      <c r="F94" s="73"/>
      <c r="G94" s="84">
        <v>5290</v>
      </c>
      <c r="H94" s="73"/>
      <c r="I94" s="84">
        <v>5290</v>
      </c>
      <c r="J94" s="73"/>
      <c r="K94" s="254">
        <v>3900</v>
      </c>
      <c r="L94" s="255"/>
      <c r="M94" s="254">
        <v>3900</v>
      </c>
      <c r="N94" s="255"/>
      <c r="O94" s="70"/>
    </row>
    <row r="95" spans="1:15" ht="12.75">
      <c r="A95" s="17"/>
      <c r="B95" s="45"/>
      <c r="C95" s="45">
        <f t="shared" si="4"/>
        <v>6</v>
      </c>
      <c r="D95" s="19" t="s">
        <v>91</v>
      </c>
      <c r="E95" s="84">
        <v>1350</v>
      </c>
      <c r="F95" s="73"/>
      <c r="G95" s="84">
        <v>1450</v>
      </c>
      <c r="H95" s="73"/>
      <c r="I95" s="84">
        <v>1500</v>
      </c>
      <c r="J95" s="73"/>
      <c r="K95" s="254">
        <v>1900</v>
      </c>
      <c r="L95" s="255"/>
      <c r="M95" s="272">
        <v>2000</v>
      </c>
      <c r="N95" s="255"/>
      <c r="O95" s="70"/>
    </row>
    <row r="96" spans="1:15" ht="12.75">
      <c r="A96" s="17"/>
      <c r="B96" s="45"/>
      <c r="C96" s="45">
        <f t="shared" si="4"/>
        <v>7</v>
      </c>
      <c r="D96" s="19" t="s">
        <v>92</v>
      </c>
      <c r="E96" s="84">
        <v>1535</v>
      </c>
      <c r="F96" s="73"/>
      <c r="G96" s="84">
        <v>1535</v>
      </c>
      <c r="H96" s="73"/>
      <c r="I96" s="84">
        <v>1535</v>
      </c>
      <c r="J96" s="73"/>
      <c r="K96" s="254">
        <v>1775</v>
      </c>
      <c r="L96" s="255"/>
      <c r="M96" s="254">
        <v>1775</v>
      </c>
      <c r="N96" s="255"/>
      <c r="O96" s="70"/>
    </row>
    <row r="97" spans="1:15" ht="12.75">
      <c r="A97" s="17"/>
      <c r="B97" s="45"/>
      <c r="C97" s="45">
        <f t="shared" si="4"/>
        <v>8</v>
      </c>
      <c r="D97" s="19" t="s">
        <v>93</v>
      </c>
      <c r="E97" s="72">
        <v>542</v>
      </c>
      <c r="F97" s="73"/>
      <c r="G97" s="72">
        <v>542</v>
      </c>
      <c r="H97" s="73"/>
      <c r="I97" s="72">
        <v>542</v>
      </c>
      <c r="J97" s="73"/>
      <c r="K97" s="254">
        <v>550</v>
      </c>
      <c r="L97" s="255"/>
      <c r="M97" s="254">
        <v>550</v>
      </c>
      <c r="N97" s="255"/>
      <c r="O97" s="70"/>
    </row>
    <row r="98" spans="1:15" ht="12.75">
      <c r="A98" s="21"/>
      <c r="B98" s="46"/>
      <c r="C98" s="45">
        <f t="shared" si="4"/>
        <v>9</v>
      </c>
      <c r="D98" s="26" t="s">
        <v>16</v>
      </c>
      <c r="E98" s="96">
        <v>60</v>
      </c>
      <c r="F98" s="89"/>
      <c r="G98" s="96">
        <v>60</v>
      </c>
      <c r="H98" s="89"/>
      <c r="I98" s="96">
        <v>60</v>
      </c>
      <c r="J98" s="89"/>
      <c r="K98" s="259">
        <v>100</v>
      </c>
      <c r="L98" s="261"/>
      <c r="M98" s="273">
        <v>370</v>
      </c>
      <c r="N98" s="261"/>
      <c r="O98" s="70"/>
    </row>
    <row r="99" spans="1:15" ht="12.75">
      <c r="A99" s="21"/>
      <c r="B99" s="46"/>
      <c r="C99" s="45">
        <f t="shared" si="4"/>
        <v>10</v>
      </c>
      <c r="D99" s="19" t="s">
        <v>202</v>
      </c>
      <c r="E99" s="85"/>
      <c r="F99" s="89"/>
      <c r="G99" s="85"/>
      <c r="H99" s="89"/>
      <c r="I99" s="85">
        <v>500</v>
      </c>
      <c r="J99" s="89"/>
      <c r="K99" s="259">
        <v>1550</v>
      </c>
      <c r="L99" s="261"/>
      <c r="M99" s="273">
        <v>2080</v>
      </c>
      <c r="N99" s="261"/>
      <c r="O99" s="70"/>
    </row>
    <row r="100" spans="1:15" ht="12.75">
      <c r="A100" s="21"/>
      <c r="B100" s="46"/>
      <c r="C100" s="45">
        <f t="shared" si="4"/>
        <v>11</v>
      </c>
      <c r="D100" s="26" t="s">
        <v>201</v>
      </c>
      <c r="E100" s="85"/>
      <c r="F100" s="89"/>
      <c r="G100" s="85"/>
      <c r="H100" s="89"/>
      <c r="I100" s="85"/>
      <c r="J100" s="89"/>
      <c r="K100" s="259"/>
      <c r="L100" s="261"/>
      <c r="M100" s="273">
        <v>500</v>
      </c>
      <c r="N100" s="261"/>
      <c r="O100" s="70"/>
    </row>
    <row r="101" spans="1:15" ht="12.75">
      <c r="A101" s="21"/>
      <c r="B101" s="46"/>
      <c r="C101" s="45">
        <f t="shared" si="4"/>
        <v>12</v>
      </c>
      <c r="D101" s="26" t="s">
        <v>135</v>
      </c>
      <c r="E101" s="96"/>
      <c r="F101" s="89"/>
      <c r="G101" s="96"/>
      <c r="H101" s="89"/>
      <c r="I101" s="96"/>
      <c r="J101" s="89"/>
      <c r="K101" s="259">
        <v>300</v>
      </c>
      <c r="L101" s="261"/>
      <c r="M101" s="259">
        <v>300</v>
      </c>
      <c r="N101" s="261"/>
      <c r="O101" s="70"/>
    </row>
    <row r="102" spans="1:16" ht="12.75">
      <c r="A102" s="21"/>
      <c r="B102" s="46"/>
      <c r="C102" s="45">
        <f t="shared" si="4"/>
        <v>13</v>
      </c>
      <c r="D102" s="26" t="s">
        <v>127</v>
      </c>
      <c r="E102" s="96"/>
      <c r="F102" s="89"/>
      <c r="G102" s="96"/>
      <c r="H102" s="89"/>
      <c r="I102" s="96"/>
      <c r="J102" s="89"/>
      <c r="K102" s="259">
        <v>200</v>
      </c>
      <c r="L102" s="261"/>
      <c r="M102" s="273">
        <f>131+108+29+27</f>
        <v>295</v>
      </c>
      <c r="N102" s="261"/>
      <c r="O102" s="132">
        <f>SUM(M99:M102)</f>
        <v>3175</v>
      </c>
      <c r="P102" s="129" t="s">
        <v>129</v>
      </c>
    </row>
    <row r="103" spans="1:15" ht="13.5" thickBot="1">
      <c r="A103" s="29"/>
      <c r="B103" s="48"/>
      <c r="C103" s="48"/>
      <c r="D103" s="31" t="s">
        <v>23</v>
      </c>
      <c r="E103" s="76"/>
      <c r="F103" s="83">
        <f>SUM(E90:E98)</f>
        <v>9787</v>
      </c>
      <c r="G103" s="76"/>
      <c r="H103" s="83">
        <f>SUM(G90:G98)</f>
        <v>9887</v>
      </c>
      <c r="I103" s="76"/>
      <c r="J103" s="83">
        <f>SUM(I90:I98)</f>
        <v>9752</v>
      </c>
      <c r="K103" s="256"/>
      <c r="L103" s="258">
        <f>SUM(K90:K102)</f>
        <v>11630</v>
      </c>
      <c r="M103" s="256"/>
      <c r="N103" s="258">
        <f>SUM(M90:M102)</f>
        <v>13125</v>
      </c>
      <c r="O103" s="80"/>
    </row>
    <row r="104" spans="1:15" ht="12.75">
      <c r="A104" s="11" t="s">
        <v>52</v>
      </c>
      <c r="B104" s="43" t="s">
        <v>94</v>
      </c>
      <c r="C104" s="43">
        <v>1</v>
      </c>
      <c r="D104" s="13" t="s">
        <v>95</v>
      </c>
      <c r="E104" s="88">
        <v>700</v>
      </c>
      <c r="F104" s="69"/>
      <c r="G104" s="88">
        <v>560</v>
      </c>
      <c r="H104" s="69"/>
      <c r="I104" s="88">
        <v>620</v>
      </c>
      <c r="J104" s="69"/>
      <c r="K104" s="252">
        <v>715</v>
      </c>
      <c r="L104" s="253"/>
      <c r="M104" s="252">
        <v>715</v>
      </c>
      <c r="N104" s="253"/>
      <c r="O104" s="70"/>
    </row>
    <row r="105" spans="1:15" ht="12.75">
      <c r="A105" s="35"/>
      <c r="B105" s="44"/>
      <c r="C105" s="45">
        <f aca="true" t="shared" si="5" ref="C105:C113">+C104+1</f>
        <v>2</v>
      </c>
      <c r="D105" s="24" t="s">
        <v>96</v>
      </c>
      <c r="E105" s="94">
        <v>90</v>
      </c>
      <c r="F105" s="71"/>
      <c r="G105" s="94">
        <v>90</v>
      </c>
      <c r="H105" s="71"/>
      <c r="I105" s="94">
        <v>90</v>
      </c>
      <c r="J105" s="71"/>
      <c r="K105" s="262">
        <v>90</v>
      </c>
      <c r="L105" s="263"/>
      <c r="M105" s="262">
        <v>90</v>
      </c>
      <c r="N105" s="263"/>
      <c r="O105" s="70"/>
    </row>
    <row r="106" spans="1:15" ht="12.75">
      <c r="A106" s="35"/>
      <c r="B106" s="44"/>
      <c r="C106" s="45">
        <f t="shared" si="5"/>
        <v>3</v>
      </c>
      <c r="D106" s="19" t="s">
        <v>97</v>
      </c>
      <c r="E106" s="72">
        <v>900</v>
      </c>
      <c r="F106" s="71"/>
      <c r="G106" s="72">
        <v>952</v>
      </c>
      <c r="H106" s="71"/>
      <c r="I106" s="72">
        <v>1300</v>
      </c>
      <c r="J106" s="71"/>
      <c r="K106" s="254">
        <v>1195</v>
      </c>
      <c r="L106" s="263"/>
      <c r="M106" s="272">
        <v>1100</v>
      </c>
      <c r="N106" s="263"/>
      <c r="O106" s="70"/>
    </row>
    <row r="107" spans="1:16" ht="12.75">
      <c r="A107" s="17"/>
      <c r="B107" s="45"/>
      <c r="C107" s="45">
        <f t="shared" si="5"/>
        <v>4</v>
      </c>
      <c r="D107" s="19" t="s">
        <v>98</v>
      </c>
      <c r="E107" s="85">
        <f>-10824+1000+325</f>
        <v>-9499</v>
      </c>
      <c r="F107" s="73"/>
      <c r="G107" s="85">
        <f>-10824+570+325+2871-212</f>
        <v>-7270</v>
      </c>
      <c r="H107" s="73"/>
      <c r="I107" s="85">
        <f>-10824+570+325+2911-193-97-35-384</f>
        <v>-7727</v>
      </c>
      <c r="J107" s="73"/>
      <c r="K107" s="259">
        <f>1900+800+280</f>
        <v>2980</v>
      </c>
      <c r="L107" s="255"/>
      <c r="M107" s="273">
        <f>1700+800+280+60</f>
        <v>2840</v>
      </c>
      <c r="N107" s="255"/>
      <c r="O107" s="97"/>
      <c r="P107" s="97"/>
    </row>
    <row r="108" spans="1:15" ht="12.75">
      <c r="A108" s="21"/>
      <c r="B108" s="46"/>
      <c r="C108" s="45">
        <f t="shared" si="5"/>
        <v>5</v>
      </c>
      <c r="D108" s="19" t="s">
        <v>99</v>
      </c>
      <c r="E108" s="96">
        <v>124</v>
      </c>
      <c r="F108" s="89"/>
      <c r="G108" s="96">
        <v>124</v>
      </c>
      <c r="H108" s="89"/>
      <c r="I108" s="96">
        <v>124</v>
      </c>
      <c r="J108" s="89"/>
      <c r="K108" s="259">
        <v>125</v>
      </c>
      <c r="L108" s="261"/>
      <c r="M108" s="259">
        <v>125</v>
      </c>
      <c r="N108" s="261"/>
      <c r="O108" s="70"/>
    </row>
    <row r="109" spans="1:15" ht="12.75">
      <c r="A109" s="21"/>
      <c r="B109" s="46"/>
      <c r="C109" s="45">
        <f t="shared" si="5"/>
        <v>6</v>
      </c>
      <c r="D109" s="19" t="s">
        <v>125</v>
      </c>
      <c r="E109" s="96">
        <v>482</v>
      </c>
      <c r="F109" s="89"/>
      <c r="G109" s="96">
        <v>482</v>
      </c>
      <c r="H109" s="89"/>
      <c r="I109" s="96">
        <v>497</v>
      </c>
      <c r="J109" s="89"/>
      <c r="K109" s="259">
        <v>0</v>
      </c>
      <c r="L109" s="261"/>
      <c r="M109" s="273">
        <v>27</v>
      </c>
      <c r="N109" s="261"/>
      <c r="O109" s="70"/>
    </row>
    <row r="110" spans="1:15" ht="12.75">
      <c r="A110" s="21"/>
      <c r="B110" s="46"/>
      <c r="C110" s="45">
        <f t="shared" si="5"/>
        <v>7</v>
      </c>
      <c r="D110" s="19" t="s">
        <v>100</v>
      </c>
      <c r="E110" s="96">
        <v>89</v>
      </c>
      <c r="F110" s="89"/>
      <c r="G110" s="96">
        <v>89</v>
      </c>
      <c r="H110" s="89"/>
      <c r="I110" s="96">
        <v>89</v>
      </c>
      <c r="J110" s="89"/>
      <c r="K110" s="259">
        <v>112</v>
      </c>
      <c r="L110" s="261"/>
      <c r="M110" s="259">
        <v>112</v>
      </c>
      <c r="N110" s="261"/>
      <c r="O110" s="70"/>
    </row>
    <row r="111" spans="1:15" ht="12.75">
      <c r="A111" s="21"/>
      <c r="B111" s="46"/>
      <c r="C111" s="45">
        <f t="shared" si="5"/>
        <v>8</v>
      </c>
      <c r="D111" s="19" t="s">
        <v>101</v>
      </c>
      <c r="E111" s="96">
        <v>0</v>
      </c>
      <c r="F111" s="89"/>
      <c r="G111" s="96">
        <v>100</v>
      </c>
      <c r="H111" s="89"/>
      <c r="I111" s="96">
        <v>100</v>
      </c>
      <c r="J111" s="89"/>
      <c r="K111" s="259">
        <v>0</v>
      </c>
      <c r="L111" s="261"/>
      <c r="M111" s="273">
        <v>80</v>
      </c>
      <c r="N111" s="261"/>
      <c r="O111" s="70"/>
    </row>
    <row r="112" spans="1:15" ht="12.75">
      <c r="A112" s="21"/>
      <c r="B112" s="46"/>
      <c r="C112" s="45">
        <f t="shared" si="5"/>
        <v>9</v>
      </c>
      <c r="D112" s="19" t="s">
        <v>140</v>
      </c>
      <c r="E112" s="96"/>
      <c r="F112" s="89"/>
      <c r="G112" s="96">
        <v>251</v>
      </c>
      <c r="H112" s="89"/>
      <c r="I112" s="96">
        <v>251</v>
      </c>
      <c r="J112" s="89"/>
      <c r="K112" s="259">
        <f>215+70</f>
        <v>285</v>
      </c>
      <c r="L112" s="255"/>
      <c r="M112" s="259">
        <f>215+70</f>
        <v>285</v>
      </c>
      <c r="N112" s="255"/>
      <c r="O112" s="70"/>
    </row>
    <row r="113" spans="1:15" ht="12.75">
      <c r="A113" s="21"/>
      <c r="B113" s="46"/>
      <c r="C113" s="45">
        <f t="shared" si="5"/>
        <v>10</v>
      </c>
      <c r="D113" s="19" t="s">
        <v>102</v>
      </c>
      <c r="E113" s="85">
        <v>704</v>
      </c>
      <c r="F113" s="89"/>
      <c r="G113" s="85">
        <v>373</v>
      </c>
      <c r="H113" s="89"/>
      <c r="I113" s="85">
        <v>359</v>
      </c>
      <c r="J113" s="89"/>
      <c r="K113" s="259">
        <v>500</v>
      </c>
      <c r="L113" s="261"/>
      <c r="M113" s="273">
        <v>497</v>
      </c>
      <c r="N113" s="261"/>
      <c r="O113" s="70"/>
    </row>
    <row r="114" spans="1:15" ht="13.5" thickBot="1">
      <c r="A114" s="29"/>
      <c r="B114" s="48"/>
      <c r="C114" s="48"/>
      <c r="D114" s="31" t="s">
        <v>23</v>
      </c>
      <c r="E114" s="76"/>
      <c r="F114" s="83">
        <f>SUM(E104:E113)</f>
        <v>-6410</v>
      </c>
      <c r="G114" s="76"/>
      <c r="H114" s="83">
        <f>SUM(G104:G113)</f>
        <v>-4249</v>
      </c>
      <c r="I114" s="76"/>
      <c r="J114" s="83">
        <f>SUM(I104:I113)</f>
        <v>-4297</v>
      </c>
      <c r="K114" s="256"/>
      <c r="L114" s="258">
        <f>SUM(K104:K113)</f>
        <v>6002</v>
      </c>
      <c r="M114" s="256"/>
      <c r="N114" s="258">
        <f>SUM(M104:M113)</f>
        <v>5871</v>
      </c>
      <c r="O114" s="80"/>
    </row>
    <row r="115" spans="1:15" ht="13.5" thickBot="1">
      <c r="A115" s="49" t="s">
        <v>54</v>
      </c>
      <c r="B115" s="50" t="s">
        <v>103</v>
      </c>
      <c r="C115" s="50"/>
      <c r="D115" s="51" t="s">
        <v>104</v>
      </c>
      <c r="E115" s="55">
        <v>0</v>
      </c>
      <c r="F115" s="98"/>
      <c r="G115" s="55">
        <v>0</v>
      </c>
      <c r="H115" s="98"/>
      <c r="I115" s="55">
        <v>0</v>
      </c>
      <c r="J115" s="98"/>
      <c r="K115" s="250">
        <v>900</v>
      </c>
      <c r="L115" s="235">
        <f>SUM(K115)</f>
        <v>900</v>
      </c>
      <c r="M115" s="250">
        <v>900</v>
      </c>
      <c r="N115" s="235">
        <f>SUM(M115)</f>
        <v>900</v>
      </c>
      <c r="O115" s="70"/>
    </row>
    <row r="116" spans="1:15" ht="13.5" thickBot="1">
      <c r="A116" s="100" t="s">
        <v>56</v>
      </c>
      <c r="B116" s="101" t="s">
        <v>130</v>
      </c>
      <c r="C116" s="101"/>
      <c r="D116" s="90"/>
      <c r="E116" s="102">
        <v>900</v>
      </c>
      <c r="F116" s="103">
        <f>SUM(E116)</f>
        <v>900</v>
      </c>
      <c r="G116" s="102">
        <v>1250</v>
      </c>
      <c r="H116" s="103">
        <f>SUM(G116)</f>
        <v>1250</v>
      </c>
      <c r="I116" s="102">
        <v>1250</v>
      </c>
      <c r="J116" s="103">
        <f>SUM(I116)</f>
        <v>1250</v>
      </c>
      <c r="K116" s="264">
        <v>1000</v>
      </c>
      <c r="L116" s="265">
        <f>SUM(K116)</f>
        <v>1000</v>
      </c>
      <c r="M116" s="264">
        <v>1000</v>
      </c>
      <c r="N116" s="265">
        <f>SUM(M116)</f>
        <v>1000</v>
      </c>
      <c r="O116" s="70"/>
    </row>
    <row r="117" spans="1:15" ht="13.5" thickBot="1">
      <c r="A117" s="104" t="s">
        <v>62</v>
      </c>
      <c r="B117" s="50" t="s">
        <v>63</v>
      </c>
      <c r="C117" s="87"/>
      <c r="D117" s="105"/>
      <c r="E117" s="106">
        <v>610</v>
      </c>
      <c r="F117" s="99">
        <f>SUM(E117)</f>
        <v>610</v>
      </c>
      <c r="G117" s="106">
        <v>610</v>
      </c>
      <c r="H117" s="99">
        <f>SUM(G117)</f>
        <v>610</v>
      </c>
      <c r="I117" s="106">
        <v>610</v>
      </c>
      <c r="J117" s="99">
        <f>SUM(I117)</f>
        <v>610</v>
      </c>
      <c r="K117" s="266">
        <v>630</v>
      </c>
      <c r="L117" s="235">
        <f>SUM(K117)</f>
        <v>630</v>
      </c>
      <c r="M117" s="266">
        <v>630</v>
      </c>
      <c r="N117" s="235">
        <f>SUM(M117)</f>
        <v>630</v>
      </c>
      <c r="O117" s="80"/>
    </row>
    <row r="118" spans="1:15" ht="12.75">
      <c r="A118" s="56"/>
      <c r="B118" s="43" t="s">
        <v>105</v>
      </c>
      <c r="C118" s="43"/>
      <c r="D118" s="13"/>
      <c r="E118" s="88"/>
      <c r="F118" s="107">
        <f>SUM(F62:F117)</f>
        <v>67691</v>
      </c>
      <c r="G118" s="88"/>
      <c r="H118" s="107">
        <f>SUM(H62:H117)</f>
        <v>67324</v>
      </c>
      <c r="I118" s="88"/>
      <c r="J118" s="107">
        <f>SUM(J62:J117)</f>
        <v>68386</v>
      </c>
      <c r="K118" s="68"/>
      <c r="L118" s="231">
        <f>SUM(L62:L117)</f>
        <v>77631</v>
      </c>
      <c r="M118" s="68"/>
      <c r="N118" s="231">
        <f>SUM(N62:N117)</f>
        <v>81861</v>
      </c>
      <c r="O118" s="108"/>
    </row>
    <row r="119" spans="1:16" ht="13.5" thickBot="1">
      <c r="A119" s="59"/>
      <c r="B119" s="48" t="s">
        <v>106</v>
      </c>
      <c r="C119" s="48"/>
      <c r="D119" s="31"/>
      <c r="E119" s="76"/>
      <c r="F119" s="109">
        <f>+F118-610</f>
        <v>67081</v>
      </c>
      <c r="G119" s="76"/>
      <c r="H119" s="109">
        <f>+H118-610</f>
        <v>66714</v>
      </c>
      <c r="I119" s="76"/>
      <c r="J119" s="109">
        <f>+J118-610</f>
        <v>67776</v>
      </c>
      <c r="K119" s="76"/>
      <c r="L119" s="232">
        <f>+L118-630</f>
        <v>77001</v>
      </c>
      <c r="M119" s="76"/>
      <c r="N119" s="232">
        <f>+N118-630</f>
        <v>81231</v>
      </c>
      <c r="O119" s="27">
        <f>+N119-N89-O102</f>
        <v>54866</v>
      </c>
      <c r="P119" t="s">
        <v>107</v>
      </c>
    </row>
    <row r="120" spans="1:16" ht="13.5" thickBot="1">
      <c r="A120" s="110"/>
      <c r="B120" s="110"/>
      <c r="C120" s="110"/>
      <c r="D120" s="110"/>
      <c r="E120" s="97"/>
      <c r="F120" s="111"/>
      <c r="G120" s="97"/>
      <c r="H120" s="111"/>
      <c r="I120" s="97"/>
      <c r="J120" s="111"/>
      <c r="K120" s="97"/>
      <c r="L120" s="108"/>
      <c r="M120" s="97"/>
      <c r="N120" s="108"/>
      <c r="O120" s="27">
        <f>O51-O119</f>
        <v>17974.300000000003</v>
      </c>
      <c r="P120" t="s">
        <v>108</v>
      </c>
    </row>
    <row r="121" spans="1:16" ht="13.5" thickBot="1">
      <c r="A121" s="112"/>
      <c r="B121" s="113" t="s">
        <v>109</v>
      </c>
      <c r="C121" s="130"/>
      <c r="D121" s="131"/>
      <c r="E121" s="99"/>
      <c r="F121" s="99">
        <f>+F51-F119</f>
        <v>-5012.699999999997</v>
      </c>
      <c r="G121" s="99"/>
      <c r="H121" s="99">
        <f>+H51-H119</f>
        <v>-4052.699999999997</v>
      </c>
      <c r="I121" s="99"/>
      <c r="J121" s="99">
        <f>+J51-J119</f>
        <v>-3825.699999999997</v>
      </c>
      <c r="K121" s="99"/>
      <c r="L121" s="235">
        <f>+L51-L119</f>
        <v>7534</v>
      </c>
      <c r="M121" s="99"/>
      <c r="N121" s="235">
        <f>+N51-N119</f>
        <v>6534</v>
      </c>
      <c r="O121" s="114">
        <f>+O120/O51</f>
        <v>0.24676312425951022</v>
      </c>
      <c r="P121" t="s">
        <v>110</v>
      </c>
    </row>
    <row r="122" spans="1:15" ht="12.75">
      <c r="A122" s="112"/>
      <c r="B122" s="133" t="s">
        <v>111</v>
      </c>
      <c r="C122" s="147" t="s">
        <v>141</v>
      </c>
      <c r="D122" s="141"/>
      <c r="E122" s="142"/>
      <c r="F122" s="143"/>
      <c r="G122" s="142"/>
      <c r="H122" s="143"/>
      <c r="I122" s="142"/>
      <c r="J122" s="142"/>
      <c r="K122" s="267">
        <v>10600</v>
      </c>
      <c r="L122" s="236"/>
      <c r="M122" s="267">
        <v>10600</v>
      </c>
      <c r="N122" s="236"/>
      <c r="O122" s="114"/>
    </row>
    <row r="123" spans="2:21" ht="12.75">
      <c r="B123" s="134"/>
      <c r="C123" s="148" t="s">
        <v>113</v>
      </c>
      <c r="D123" s="144"/>
      <c r="E123" s="145">
        <f>-606-224-3000-1875-2873</f>
        <v>-8578</v>
      </c>
      <c r="F123" s="146"/>
      <c r="G123" s="145">
        <f>-606-224-3000-1875-2873-130</f>
        <v>-8708</v>
      </c>
      <c r="H123" s="146"/>
      <c r="I123" s="145">
        <f>-606-224-3000-1875-2873-143</f>
        <v>-8721</v>
      </c>
      <c r="J123" s="146"/>
      <c r="K123" s="268">
        <f>-3125-2500-225-184-1500-10600</f>
        <v>-18134</v>
      </c>
      <c r="L123" s="237"/>
      <c r="M123" s="268">
        <f>-3125-2500-225-184-1500-10600</f>
        <v>-18134</v>
      </c>
      <c r="N123" s="237"/>
      <c r="O123" s="80"/>
      <c r="U123" s="149"/>
    </row>
    <row r="124" spans="2:15" ht="13.5" thickBot="1">
      <c r="B124" s="119" t="s">
        <v>114</v>
      </c>
      <c r="C124" s="135" t="s">
        <v>115</v>
      </c>
      <c r="D124" s="136"/>
      <c r="E124" s="137">
        <v>-27</v>
      </c>
      <c r="F124" s="138">
        <f>SUM(E123:E124)</f>
        <v>-8605</v>
      </c>
      <c r="G124" s="137">
        <v>0</v>
      </c>
      <c r="H124" s="138">
        <f>SUM(G123:G124)</f>
        <v>-8708</v>
      </c>
      <c r="I124" s="137">
        <v>400</v>
      </c>
      <c r="J124" s="139">
        <f>SUM(I123:I124)</f>
        <v>-8321</v>
      </c>
      <c r="K124" s="140">
        <v>0</v>
      </c>
      <c r="L124" s="238">
        <f>SUM(K122:K124)</f>
        <v>-7534</v>
      </c>
      <c r="M124" s="275">
        <v>1000</v>
      </c>
      <c r="N124" s="238">
        <f>SUM(M122:M124)</f>
        <v>-6534</v>
      </c>
      <c r="O124" s="276">
        <f>SUM(N121:N124)</f>
        <v>0</v>
      </c>
    </row>
    <row r="125" spans="2:15" ht="12.75">
      <c r="B125" s="120" t="s">
        <v>116</v>
      </c>
      <c r="C125" s="44"/>
      <c r="D125" s="44"/>
      <c r="E125" s="121">
        <v>3802</v>
      </c>
      <c r="F125" s="95" t="s">
        <v>117</v>
      </c>
      <c r="G125" s="121">
        <v>3802</v>
      </c>
      <c r="H125" s="95" t="s">
        <v>117</v>
      </c>
      <c r="I125" s="121">
        <v>3802</v>
      </c>
      <c r="J125" s="95" t="s">
        <v>117</v>
      </c>
      <c r="K125" s="121">
        <v>3153</v>
      </c>
      <c r="L125" s="115" t="s">
        <v>117</v>
      </c>
      <c r="M125" s="121">
        <v>9198</v>
      </c>
      <c r="N125" s="115" t="s">
        <v>117</v>
      </c>
      <c r="O125" s="80"/>
    </row>
    <row r="126" spans="2:15" ht="12.75">
      <c r="B126" s="117" t="s">
        <v>118</v>
      </c>
      <c r="C126" s="45"/>
      <c r="D126" s="45"/>
      <c r="E126" s="122">
        <f>+E124-E129</f>
        <v>-27</v>
      </c>
      <c r="F126" s="81" t="s">
        <v>117</v>
      </c>
      <c r="G126" s="122">
        <f>+G124-G129</f>
        <v>0</v>
      </c>
      <c r="H126" s="81" t="s">
        <v>117</v>
      </c>
      <c r="I126" s="122">
        <f>+I124-I129</f>
        <v>400</v>
      </c>
      <c r="J126" s="81" t="s">
        <v>117</v>
      </c>
      <c r="K126" s="122">
        <f>+K124-K129</f>
        <v>0</v>
      </c>
      <c r="L126" s="123" t="s">
        <v>117</v>
      </c>
      <c r="M126" s="122">
        <f>+M124-M129</f>
        <v>1000</v>
      </c>
      <c r="N126" s="123" t="s">
        <v>117</v>
      </c>
      <c r="O126" s="80"/>
    </row>
    <row r="127" spans="2:15" ht="13.5" thickBot="1">
      <c r="B127" s="59" t="s">
        <v>119</v>
      </c>
      <c r="C127" s="48"/>
      <c r="D127" s="48"/>
      <c r="E127" s="124">
        <f>+E125-E126</f>
        <v>3829</v>
      </c>
      <c r="F127" s="83" t="s">
        <v>117</v>
      </c>
      <c r="G127" s="124">
        <f>+G125-G126</f>
        <v>3802</v>
      </c>
      <c r="H127" s="83" t="s">
        <v>117</v>
      </c>
      <c r="I127" s="124">
        <f>+I125-I126</f>
        <v>3402</v>
      </c>
      <c r="J127" s="83" t="s">
        <v>117</v>
      </c>
      <c r="K127" s="124">
        <f>+K125-K126</f>
        <v>3153</v>
      </c>
      <c r="L127" s="92" t="s">
        <v>117</v>
      </c>
      <c r="M127" s="124">
        <f>+M125-M126</f>
        <v>8198</v>
      </c>
      <c r="N127" s="92" t="s">
        <v>117</v>
      </c>
      <c r="O127" s="80"/>
    </row>
    <row r="128" spans="2:15" ht="12.75">
      <c r="B128" s="56" t="s">
        <v>120</v>
      </c>
      <c r="C128" s="43"/>
      <c r="D128" s="43"/>
      <c r="E128" s="125">
        <v>198</v>
      </c>
      <c r="F128" s="69" t="s">
        <v>117</v>
      </c>
      <c r="G128" s="125">
        <v>198</v>
      </c>
      <c r="H128" s="69" t="s">
        <v>117</v>
      </c>
      <c r="I128" s="125">
        <v>198</v>
      </c>
      <c r="J128" s="69" t="s">
        <v>117</v>
      </c>
      <c r="K128" s="125">
        <v>250</v>
      </c>
      <c r="L128" s="126" t="s">
        <v>117</v>
      </c>
      <c r="M128" s="125">
        <v>300</v>
      </c>
      <c r="N128" s="126" t="s">
        <v>117</v>
      </c>
      <c r="O128" s="70"/>
    </row>
    <row r="129" spans="2:14" ht="12.75">
      <c r="B129" s="117" t="s">
        <v>121</v>
      </c>
      <c r="C129" s="45"/>
      <c r="D129" s="45"/>
      <c r="E129" s="122">
        <f>E117-E49</f>
        <v>0</v>
      </c>
      <c r="F129" s="73" t="s">
        <v>117</v>
      </c>
      <c r="G129" s="122">
        <f>G117-G49</f>
        <v>0</v>
      </c>
      <c r="H129" s="73" t="s">
        <v>117</v>
      </c>
      <c r="I129" s="122">
        <f>I117-I49</f>
        <v>0</v>
      </c>
      <c r="J129" s="73" t="s">
        <v>117</v>
      </c>
      <c r="K129" s="122">
        <f>K117-K49</f>
        <v>0</v>
      </c>
      <c r="L129" s="127" t="s">
        <v>117</v>
      </c>
      <c r="M129" s="122">
        <f>M117-M49</f>
        <v>0</v>
      </c>
      <c r="N129" s="127" t="s">
        <v>117</v>
      </c>
    </row>
    <row r="130" spans="2:15" ht="13.5" thickBot="1">
      <c r="B130" s="59" t="s">
        <v>122</v>
      </c>
      <c r="C130" s="48"/>
      <c r="D130" s="48"/>
      <c r="E130" s="124">
        <f>+E128-E129</f>
        <v>198</v>
      </c>
      <c r="F130" s="91" t="s">
        <v>117</v>
      </c>
      <c r="G130" s="124">
        <f>+G128-G129</f>
        <v>198</v>
      </c>
      <c r="H130" s="91" t="s">
        <v>117</v>
      </c>
      <c r="I130" s="124">
        <f>+I128-I129</f>
        <v>198</v>
      </c>
      <c r="J130" s="91" t="s">
        <v>117</v>
      </c>
      <c r="K130" s="124">
        <f>+K128-K129</f>
        <v>250</v>
      </c>
      <c r="L130" s="128" t="s">
        <v>117</v>
      </c>
      <c r="M130" s="124">
        <f>+M128-M129</f>
        <v>300</v>
      </c>
      <c r="N130" s="128" t="s">
        <v>117</v>
      </c>
      <c r="O130" s="70"/>
    </row>
    <row r="132" spans="2:15" ht="12.75">
      <c r="B132" s="110"/>
      <c r="O132" s="116">
        <f>132970*1.21</f>
        <v>160893.69999999998</v>
      </c>
    </row>
    <row r="622" ht="12.75">
      <c r="J622" s="129" t="s">
        <v>128</v>
      </c>
    </row>
  </sheetData>
  <sheetProtection/>
  <mergeCells count="10">
    <mergeCell ref="M52:N52"/>
    <mergeCell ref="M1:N1"/>
    <mergeCell ref="E52:F52"/>
    <mergeCell ref="G52:H52"/>
    <mergeCell ref="I52:J52"/>
    <mergeCell ref="K52:L52"/>
    <mergeCell ref="E1:F1"/>
    <mergeCell ref="G1:H1"/>
    <mergeCell ref="I1:J1"/>
    <mergeCell ref="K1:L1"/>
  </mergeCells>
  <printOptions/>
  <pageMargins left="1.1023622047244095" right="0.984251968503937" top="0.8267716535433072" bottom="0.8661417322834646" header="0.3937007874015748" footer="0.5118110236220472"/>
  <pageSetup horizontalDpi="600" verticalDpi="600" orientation="portrait" paperSize="9" scale="77" r:id="rId1"/>
  <headerFooter alignWithMargins="0">
    <oddHeader>&amp;C&amp;"Arial,Tučné"&amp;14I.úprava rozpočtu města Blovice na rok 2014 schválená ZM 19.2.2014</oddHeader>
    <oddFooter>&amp;Lsestavil: Ing. Hodek
&amp;D&amp;Rč.j.: MUBlov 01925/14</oddFooter>
  </headerFooter>
  <rowBreaks count="2" manualBreakCount="2">
    <brk id="51" max="255" man="1"/>
    <brk id="12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92"/>
  <sheetViews>
    <sheetView zoomScalePageLayoutView="0" workbookViewId="0" topLeftCell="A1">
      <selection activeCell="D15" sqref="D15"/>
    </sheetView>
  </sheetViews>
  <sheetFormatPr defaultColWidth="8.8515625" defaultRowHeight="12.75"/>
  <cols>
    <col min="1" max="1" width="4.7109375" style="152" customWidth="1"/>
    <col min="2" max="2" width="26.57421875" style="152" customWidth="1"/>
    <col min="3" max="3" width="11.28125" style="152" bestFit="1" customWidth="1"/>
    <col min="4" max="16384" width="8.8515625" style="152" customWidth="1"/>
  </cols>
  <sheetData>
    <row r="2" ht="18.75" thickBot="1">
      <c r="A2" s="151" t="s">
        <v>144</v>
      </c>
    </row>
    <row r="3" spans="1:7" ht="13.5" thickBot="1">
      <c r="A3" s="153" t="s">
        <v>4</v>
      </c>
      <c r="B3" s="154" t="s">
        <v>5</v>
      </c>
      <c r="C3" s="155" t="s">
        <v>187</v>
      </c>
      <c r="D3" s="155">
        <v>2014</v>
      </c>
      <c r="E3" s="155">
        <v>2015</v>
      </c>
      <c r="F3" s="155">
        <v>2016</v>
      </c>
      <c r="G3" s="155">
        <v>2017</v>
      </c>
    </row>
    <row r="4" spans="1:7" ht="12.75">
      <c r="A4" s="156" t="s">
        <v>9</v>
      </c>
      <c r="B4" s="157" t="s">
        <v>145</v>
      </c>
      <c r="C4" s="158">
        <v>20955</v>
      </c>
      <c r="D4" s="158">
        <v>23364</v>
      </c>
      <c r="E4" s="158">
        <v>11305</v>
      </c>
      <c r="F4" s="158">
        <f aca="true" t="shared" si="0" ref="F4:G7">+E4*1.01</f>
        <v>11418.05</v>
      </c>
      <c r="G4" s="158">
        <f t="shared" si="0"/>
        <v>11532.2305</v>
      </c>
    </row>
    <row r="5" spans="1:7" ht="12.75">
      <c r="A5" s="159" t="s">
        <v>18</v>
      </c>
      <c r="B5" s="160" t="s">
        <v>146</v>
      </c>
      <c r="C5" s="158">
        <v>41215</v>
      </c>
      <c r="D5" s="158">
        <v>42170</v>
      </c>
      <c r="E5" s="158">
        <v>41582</v>
      </c>
      <c r="F5" s="158">
        <f t="shared" si="0"/>
        <v>41997.82</v>
      </c>
      <c r="G5" s="158">
        <f t="shared" si="0"/>
        <v>42417.7982</v>
      </c>
    </row>
    <row r="6" spans="1:7" ht="12.75">
      <c r="A6" s="159" t="s">
        <v>24</v>
      </c>
      <c r="B6" s="160" t="s">
        <v>147</v>
      </c>
      <c r="C6" s="158">
        <v>7780</v>
      </c>
      <c r="D6" s="158">
        <v>7780</v>
      </c>
      <c r="E6" s="158">
        <v>7858</v>
      </c>
      <c r="F6" s="158">
        <f t="shared" si="0"/>
        <v>7936.58</v>
      </c>
      <c r="G6" s="158">
        <f t="shared" si="0"/>
        <v>8015.9458</v>
      </c>
    </row>
    <row r="7" spans="1:7" ht="12.75">
      <c r="A7" s="159" t="s">
        <v>40</v>
      </c>
      <c r="B7" s="160" t="s">
        <v>148</v>
      </c>
      <c r="C7" s="158">
        <v>3392</v>
      </c>
      <c r="D7" s="158">
        <v>2028</v>
      </c>
      <c r="E7" s="158">
        <v>1935</v>
      </c>
      <c r="F7" s="158">
        <f t="shared" si="0"/>
        <v>1954.35</v>
      </c>
      <c r="G7" s="158">
        <f t="shared" si="0"/>
        <v>1973.8935</v>
      </c>
    </row>
    <row r="8" spans="1:7" ht="12.75">
      <c r="A8" s="159" t="s">
        <v>46</v>
      </c>
      <c r="B8" s="160" t="s">
        <v>149</v>
      </c>
      <c r="C8" s="158">
        <v>4185</v>
      </c>
      <c r="D8" s="158">
        <v>4353</v>
      </c>
      <c r="E8" s="158">
        <v>4100</v>
      </c>
      <c r="F8" s="158">
        <f aca="true" t="shared" si="1" ref="F8:G12">+E8*1.01</f>
        <v>4141</v>
      </c>
      <c r="G8" s="158">
        <f t="shared" si="1"/>
        <v>4182.41</v>
      </c>
    </row>
    <row r="9" spans="1:7" ht="12.75">
      <c r="A9" s="159" t="s">
        <v>52</v>
      </c>
      <c r="B9" s="160" t="s">
        <v>150</v>
      </c>
      <c r="C9" s="158">
        <v>1850</v>
      </c>
      <c r="D9" s="158">
        <v>1300</v>
      </c>
      <c r="E9" s="158">
        <f>+D9*1.01</f>
        <v>1313</v>
      </c>
      <c r="F9" s="158">
        <f t="shared" si="1"/>
        <v>1326.13</v>
      </c>
      <c r="G9" s="158">
        <f t="shared" si="1"/>
        <v>1339.3913000000002</v>
      </c>
    </row>
    <row r="10" spans="1:7" ht="12.75">
      <c r="A10" s="159" t="s">
        <v>54</v>
      </c>
      <c r="B10" s="160" t="s">
        <v>188</v>
      </c>
      <c r="C10" s="158">
        <v>360</v>
      </c>
      <c r="D10" s="158">
        <v>500</v>
      </c>
      <c r="E10" s="158">
        <v>300</v>
      </c>
      <c r="F10" s="158">
        <f t="shared" si="1"/>
        <v>303</v>
      </c>
      <c r="G10" s="158">
        <f t="shared" si="1"/>
        <v>306.03000000000003</v>
      </c>
    </row>
    <row r="11" spans="1:7" ht="12.75">
      <c r="A11" s="159" t="s">
        <v>56</v>
      </c>
      <c r="B11" s="160" t="s">
        <v>151</v>
      </c>
      <c r="C11" s="158">
        <v>3356</v>
      </c>
      <c r="D11" s="158">
        <v>3040</v>
      </c>
      <c r="E11" s="158">
        <f>+D11*1.01</f>
        <v>3070.4</v>
      </c>
      <c r="F11" s="158">
        <f t="shared" si="1"/>
        <v>3101.1040000000003</v>
      </c>
      <c r="G11" s="158">
        <f t="shared" si="1"/>
        <v>3132.11504</v>
      </c>
    </row>
    <row r="12" spans="1:7" ht="13.5" thickBot="1">
      <c r="A12" s="161" t="s">
        <v>62</v>
      </c>
      <c r="B12" s="162" t="s">
        <v>152</v>
      </c>
      <c r="C12" s="163">
        <v>630</v>
      </c>
      <c r="D12" s="163">
        <v>630</v>
      </c>
      <c r="E12" s="163">
        <f>+D12*1.01</f>
        <v>636.3</v>
      </c>
      <c r="F12" s="163">
        <f t="shared" si="1"/>
        <v>642.663</v>
      </c>
      <c r="G12" s="163">
        <f t="shared" si="1"/>
        <v>649.08963</v>
      </c>
    </row>
    <row r="13" spans="1:7" ht="13.5" thickBot="1">
      <c r="A13" s="164"/>
      <c r="B13" s="164" t="s">
        <v>114</v>
      </c>
      <c r="C13" s="165">
        <f>SUM(C4:C12)</f>
        <v>83723</v>
      </c>
      <c r="D13" s="165">
        <f>SUM(D4:D12)</f>
        <v>85165</v>
      </c>
      <c r="E13" s="165">
        <f>SUM(E4:E12)</f>
        <v>72099.7</v>
      </c>
      <c r="F13" s="165">
        <f>SUM(F4:F12)</f>
        <v>72820.697</v>
      </c>
      <c r="G13" s="165">
        <f>SUM(G4:G12)</f>
        <v>73548.90397</v>
      </c>
    </row>
    <row r="14" spans="1:7" ht="13.5" thickBot="1">
      <c r="A14" s="166"/>
      <c r="B14" s="167" t="s">
        <v>153</v>
      </c>
      <c r="C14" s="168">
        <f>+C13-630</f>
        <v>83093</v>
      </c>
      <c r="D14" s="168">
        <f>+D13-630</f>
        <v>84535</v>
      </c>
      <c r="E14" s="168">
        <f>+E13</f>
        <v>72099.7</v>
      </c>
      <c r="F14" s="168">
        <f>+F13</f>
        <v>72820.697</v>
      </c>
      <c r="G14" s="168">
        <f>+G13</f>
        <v>73548.90397</v>
      </c>
    </row>
    <row r="15" spans="2:7" ht="18">
      <c r="B15" s="169"/>
      <c r="C15" s="171"/>
      <c r="D15" s="171"/>
      <c r="E15" s="171"/>
      <c r="F15" s="171"/>
      <c r="G15" s="171"/>
    </row>
    <row r="16" spans="1:7" ht="18.75" thickBot="1">
      <c r="A16" s="169" t="s">
        <v>154</v>
      </c>
      <c r="B16" s="166"/>
      <c r="C16" s="171"/>
      <c r="D16" s="171"/>
      <c r="E16" s="171"/>
      <c r="F16" s="171"/>
      <c r="G16" s="171"/>
    </row>
    <row r="17" spans="1:7" ht="13.5" thickBot="1">
      <c r="A17" s="172" t="s">
        <v>4</v>
      </c>
      <c r="B17" s="173" t="s">
        <v>5</v>
      </c>
      <c r="C17" s="155" t="s">
        <v>187</v>
      </c>
      <c r="D17" s="155">
        <v>2014</v>
      </c>
      <c r="E17" s="155">
        <v>2015</v>
      </c>
      <c r="F17" s="155">
        <v>2016</v>
      </c>
      <c r="G17" s="155">
        <v>2017</v>
      </c>
    </row>
    <row r="18" spans="1:7" ht="12.75">
      <c r="A18" s="174" t="s">
        <v>9</v>
      </c>
      <c r="B18" s="175" t="s">
        <v>155</v>
      </c>
      <c r="C18" s="176">
        <v>7345</v>
      </c>
      <c r="D18" s="176">
        <v>5691</v>
      </c>
      <c r="E18" s="176">
        <f aca="true" t="shared" si="2" ref="E18:G21">+D18*1.01</f>
        <v>5747.91</v>
      </c>
      <c r="F18" s="176">
        <f t="shared" si="2"/>
        <v>5805.3891</v>
      </c>
      <c r="G18" s="176">
        <f t="shared" si="2"/>
        <v>5863.442991000001</v>
      </c>
    </row>
    <row r="19" spans="1:7" ht="12.75">
      <c r="A19" s="159" t="s">
        <v>18</v>
      </c>
      <c r="B19" s="160" t="s">
        <v>156</v>
      </c>
      <c r="C19" s="158">
        <v>27264</v>
      </c>
      <c r="D19" s="158">
        <v>26926</v>
      </c>
      <c r="E19" s="158">
        <f t="shared" si="2"/>
        <v>27195.260000000002</v>
      </c>
      <c r="F19" s="158">
        <f t="shared" si="2"/>
        <v>27467.212600000003</v>
      </c>
      <c r="G19" s="158">
        <f t="shared" si="2"/>
        <v>27741.884726000004</v>
      </c>
    </row>
    <row r="20" spans="1:7" ht="12.75">
      <c r="A20" s="159" t="s">
        <v>24</v>
      </c>
      <c r="B20" s="160" t="s">
        <v>157</v>
      </c>
      <c r="C20" s="158">
        <v>3689</v>
      </c>
      <c r="D20" s="158">
        <v>3352</v>
      </c>
      <c r="E20" s="158">
        <v>3081</v>
      </c>
      <c r="F20" s="158">
        <f t="shared" si="2"/>
        <v>3111.81</v>
      </c>
      <c r="G20" s="158">
        <f t="shared" si="2"/>
        <v>3142.9281</v>
      </c>
    </row>
    <row r="21" spans="1:7" ht="12.75">
      <c r="A21" s="159" t="s">
        <v>40</v>
      </c>
      <c r="B21" s="160" t="s">
        <v>158</v>
      </c>
      <c r="C21" s="158">
        <v>12584</v>
      </c>
      <c r="D21" s="158">
        <v>21500</v>
      </c>
      <c r="E21" s="158">
        <v>8900</v>
      </c>
      <c r="F21" s="158">
        <v>10400</v>
      </c>
      <c r="G21" s="158">
        <f t="shared" si="2"/>
        <v>10504</v>
      </c>
    </row>
    <row r="22" spans="1:7" ht="12.75">
      <c r="A22" s="159" t="s">
        <v>46</v>
      </c>
      <c r="B22" s="160" t="s">
        <v>159</v>
      </c>
      <c r="C22" s="158">
        <v>13514</v>
      </c>
      <c r="D22" s="158">
        <v>11630</v>
      </c>
      <c r="E22" s="158">
        <v>11000</v>
      </c>
      <c r="F22" s="158">
        <f aca="true" t="shared" si="3" ref="E22:G25">+E22*1.01</f>
        <v>11110</v>
      </c>
      <c r="G22" s="158">
        <f t="shared" si="3"/>
        <v>11221.1</v>
      </c>
    </row>
    <row r="23" spans="1:7" ht="12.75">
      <c r="A23" s="159" t="s">
        <v>52</v>
      </c>
      <c r="B23" s="160" t="s">
        <v>160</v>
      </c>
      <c r="C23" s="158">
        <v>6557</v>
      </c>
      <c r="D23" s="158">
        <v>6002</v>
      </c>
      <c r="E23" s="158">
        <v>6063</v>
      </c>
      <c r="F23" s="158">
        <f t="shared" si="3"/>
        <v>6123.63</v>
      </c>
      <c r="G23" s="158">
        <f t="shared" si="3"/>
        <v>6184.866300000001</v>
      </c>
    </row>
    <row r="24" spans="1:7" ht="12.75">
      <c r="A24" s="159" t="s">
        <v>54</v>
      </c>
      <c r="B24" s="160" t="s">
        <v>161</v>
      </c>
      <c r="C24" s="158">
        <v>906</v>
      </c>
      <c r="D24" s="158">
        <v>900</v>
      </c>
      <c r="E24" s="158">
        <f t="shared" si="3"/>
        <v>909</v>
      </c>
      <c r="F24" s="158">
        <f t="shared" si="3"/>
        <v>918.09</v>
      </c>
      <c r="G24" s="158">
        <f t="shared" si="3"/>
        <v>927.2709000000001</v>
      </c>
    </row>
    <row r="25" spans="1:7" ht="12.75">
      <c r="A25" s="159" t="s">
        <v>56</v>
      </c>
      <c r="B25" s="160" t="s">
        <v>150</v>
      </c>
      <c r="C25" s="158">
        <v>1815</v>
      </c>
      <c r="D25" s="158">
        <v>1000</v>
      </c>
      <c r="E25" s="158">
        <f t="shared" si="3"/>
        <v>1010</v>
      </c>
      <c r="F25" s="158">
        <f t="shared" si="3"/>
        <v>1020.1</v>
      </c>
      <c r="G25" s="158">
        <f t="shared" si="3"/>
        <v>1030.301</v>
      </c>
    </row>
    <row r="26" spans="1:7" ht="13.5" thickBot="1">
      <c r="A26" s="161" t="s">
        <v>62</v>
      </c>
      <c r="B26" s="162" t="s">
        <v>152</v>
      </c>
      <c r="C26" s="158">
        <v>630</v>
      </c>
      <c r="D26" s="158">
        <v>630</v>
      </c>
      <c r="E26" s="158">
        <f>+D26*1.01</f>
        <v>636.3</v>
      </c>
      <c r="F26" s="158">
        <f>+E26*1.01</f>
        <v>642.663</v>
      </c>
      <c r="G26" s="158">
        <f>+F26*1.01</f>
        <v>649.08963</v>
      </c>
    </row>
    <row r="27" spans="1:7" ht="13.5" thickBot="1">
      <c r="A27" s="164"/>
      <c r="B27" s="177" t="s">
        <v>114</v>
      </c>
      <c r="C27" s="165">
        <f>SUM(C18:C26)</f>
        <v>74304</v>
      </c>
      <c r="D27" s="165">
        <f>SUM(D18:D26)</f>
        <v>77631</v>
      </c>
      <c r="E27" s="165">
        <f>SUM(E18:E26)</f>
        <v>64542.47</v>
      </c>
      <c r="F27" s="165">
        <f>SUM(F18:F26)</f>
        <v>66598.89469999999</v>
      </c>
      <c r="G27" s="165">
        <f>SUM(G18:G26)</f>
        <v>67264.88364700001</v>
      </c>
    </row>
    <row r="28" spans="1:7" ht="13.5" thickBot="1">
      <c r="A28" s="178"/>
      <c r="B28" s="179" t="s">
        <v>153</v>
      </c>
      <c r="C28" s="180">
        <f>+C27-630</f>
        <v>73674</v>
      </c>
      <c r="D28" s="180">
        <f>+D27-630</f>
        <v>77001</v>
      </c>
      <c r="E28" s="180">
        <f>+E27</f>
        <v>64542.47</v>
      </c>
      <c r="F28" s="180">
        <f>+F27</f>
        <v>66598.89469999999</v>
      </c>
      <c r="G28" s="180">
        <f>+G27</f>
        <v>67264.88364700001</v>
      </c>
    </row>
    <row r="30" ht="12.75">
      <c r="B30" s="181"/>
    </row>
    <row r="52" spans="2:4" ht="18">
      <c r="B52" s="281" t="s">
        <v>162</v>
      </c>
      <c r="C52" s="281"/>
      <c r="D52" s="281"/>
    </row>
    <row r="53" ht="18.75" thickBot="1">
      <c r="B53" s="182"/>
    </row>
    <row r="54" spans="2:7" ht="13.5" thickBot="1">
      <c r="B54" s="183" t="s">
        <v>163</v>
      </c>
      <c r="C54" s="184" t="s">
        <v>187</v>
      </c>
      <c r="D54" s="184">
        <v>2014</v>
      </c>
      <c r="E54" s="184">
        <v>2015</v>
      </c>
      <c r="F54" s="184">
        <v>2016</v>
      </c>
      <c r="G54" s="184">
        <v>2017</v>
      </c>
    </row>
    <row r="55" spans="2:7" ht="13.5" thickBot="1">
      <c r="B55" s="181"/>
      <c r="C55" s="185"/>
      <c r="D55" s="185"/>
      <c r="E55" s="185"/>
      <c r="F55" s="185"/>
      <c r="G55" s="185"/>
    </row>
    <row r="56" spans="2:7" ht="12.75">
      <c r="B56" s="174" t="s">
        <v>164</v>
      </c>
      <c r="C56" s="186">
        <f>+C14</f>
        <v>83093</v>
      </c>
      <c r="D56" s="186">
        <f>+D14</f>
        <v>84535</v>
      </c>
      <c r="E56" s="186">
        <f>+E14</f>
        <v>72099.7</v>
      </c>
      <c r="F56" s="186">
        <f>+F14</f>
        <v>72820.697</v>
      </c>
      <c r="G56" s="186">
        <f>+G14</f>
        <v>73548.90397</v>
      </c>
    </row>
    <row r="57" spans="2:7" ht="13.5" thickBot="1">
      <c r="B57" s="187" t="s">
        <v>165</v>
      </c>
      <c r="C57" s="188">
        <f>+C28</f>
        <v>73674</v>
      </c>
      <c r="D57" s="188">
        <f>+D28</f>
        <v>77001</v>
      </c>
      <c r="E57" s="188">
        <f>+E28</f>
        <v>64542.47</v>
      </c>
      <c r="F57" s="188">
        <f>+F28</f>
        <v>66598.89469999999</v>
      </c>
      <c r="G57" s="188">
        <f>+G28</f>
        <v>67264.88364700001</v>
      </c>
    </row>
    <row r="58" spans="2:7" ht="13.5" thickBot="1">
      <c r="B58" s="164" t="s">
        <v>166</v>
      </c>
      <c r="C58" s="189">
        <f>+C56-C57</f>
        <v>9419</v>
      </c>
      <c r="D58" s="189">
        <f>+D56-D57</f>
        <v>7534</v>
      </c>
      <c r="E58" s="189">
        <f>+E56-E57</f>
        <v>7557.229999999996</v>
      </c>
      <c r="F58" s="189">
        <f>+F56-F57</f>
        <v>6221.80230000001</v>
      </c>
      <c r="G58" s="189">
        <f>+G56-G57</f>
        <v>6284.02032299999</v>
      </c>
    </row>
    <row r="59" spans="2:7" ht="13.5" thickBot="1">
      <c r="B59" s="181"/>
      <c r="C59" s="190"/>
      <c r="D59" s="190"/>
      <c r="E59" s="190"/>
      <c r="F59" s="190"/>
      <c r="G59" s="190"/>
    </row>
    <row r="60" spans="2:7" ht="12.75">
      <c r="B60" s="191" t="s">
        <v>112</v>
      </c>
      <c r="C60" s="192"/>
      <c r="D60" s="192">
        <v>10600</v>
      </c>
      <c r="E60" s="192"/>
      <c r="F60" s="192"/>
      <c r="G60" s="192"/>
    </row>
    <row r="61" spans="2:7" ht="12.75">
      <c r="B61" s="193" t="s">
        <v>113</v>
      </c>
      <c r="C61" s="194">
        <f>-609-3125-244-2727-2500</f>
        <v>-9205</v>
      </c>
      <c r="D61" s="194">
        <f>-225-2500-3125-184-1500-10600</f>
        <v>-18134</v>
      </c>
      <c r="E61" s="194">
        <f>-232-2500-3125-203-1500</f>
        <v>-7560</v>
      </c>
      <c r="F61" s="195">
        <f>-3125-2500-239-223</f>
        <v>-6087</v>
      </c>
      <c r="G61" s="195">
        <f>-3125-2500-247-99</f>
        <v>-5971</v>
      </c>
    </row>
    <row r="62" spans="2:7" ht="13.5" thickBot="1">
      <c r="B62" s="196" t="s">
        <v>167</v>
      </c>
      <c r="C62" s="197">
        <v>-214</v>
      </c>
      <c r="D62" s="197">
        <v>0</v>
      </c>
      <c r="E62" s="197">
        <v>3</v>
      </c>
      <c r="F62" s="197">
        <v>-135</v>
      </c>
      <c r="G62" s="197">
        <v>-313</v>
      </c>
    </row>
    <row r="63" spans="2:7" ht="13.5" thickBot="1">
      <c r="B63" s="164" t="s">
        <v>168</v>
      </c>
      <c r="C63" s="198">
        <f>SUM(C60:C62)</f>
        <v>-9419</v>
      </c>
      <c r="D63" s="198">
        <f>SUM(D60:D62)</f>
        <v>-7534</v>
      </c>
      <c r="E63" s="198">
        <f>SUM(E60:E62)</f>
        <v>-7557</v>
      </c>
      <c r="F63" s="198">
        <f>SUM(F60:F62)</f>
        <v>-6222</v>
      </c>
      <c r="G63" s="198">
        <f>SUM(G60:G62)</f>
        <v>-6284</v>
      </c>
    </row>
    <row r="64" spans="2:7" ht="13.5" thickBot="1">
      <c r="B64" s="199"/>
      <c r="C64" s="199"/>
      <c r="D64" s="199"/>
      <c r="E64" s="199"/>
      <c r="F64" s="199"/>
      <c r="G64" s="199"/>
    </row>
    <row r="65" spans="2:7" ht="13.5" thickBot="1">
      <c r="B65" s="183" t="s">
        <v>169</v>
      </c>
      <c r="C65" s="189">
        <v>3403</v>
      </c>
      <c r="D65" s="189">
        <f>C65-D62</f>
        <v>3403</v>
      </c>
      <c r="E65" s="189">
        <f>D65-E62</f>
        <v>3400</v>
      </c>
      <c r="F65" s="189">
        <f>E65-F62</f>
        <v>3535</v>
      </c>
      <c r="G65" s="189">
        <f>F65-G62</f>
        <v>3848</v>
      </c>
    </row>
    <row r="66" spans="2:7" ht="13.5" thickBot="1">
      <c r="B66" s="199"/>
      <c r="C66" s="199"/>
      <c r="D66" s="199"/>
      <c r="E66" s="199"/>
      <c r="F66" s="199"/>
      <c r="G66" s="199"/>
    </row>
    <row r="67" spans="2:7" ht="13.5" thickBot="1">
      <c r="B67" s="183" t="s">
        <v>170</v>
      </c>
      <c r="C67" s="200">
        <f>(+C61-1300)/C56</f>
        <v>-0.12642460857111912</v>
      </c>
      <c r="D67" s="200">
        <f>(+D61-1200)/D56</f>
        <v>-0.22871000177441297</v>
      </c>
      <c r="E67" s="200">
        <f>(+E61-1000)/E56</f>
        <v>-0.11872448845140826</v>
      </c>
      <c r="F67" s="200">
        <f>(+F61-900)/F56</f>
        <v>-0.09594799676251382</v>
      </c>
      <c r="G67" s="200">
        <f>(+G61-850)/G56</f>
        <v>-0.09274101491413428</v>
      </c>
    </row>
    <row r="68" spans="3:7" ht="13.5" thickBot="1">
      <c r="C68" s="152" t="s">
        <v>171</v>
      </c>
      <c r="D68" s="152" t="s">
        <v>171</v>
      </c>
      <c r="E68" s="152" t="s">
        <v>171</v>
      </c>
      <c r="F68" s="152" t="s">
        <v>171</v>
      </c>
      <c r="G68" s="152" t="s">
        <v>171</v>
      </c>
    </row>
    <row r="69" spans="2:7" ht="13.5" thickBot="1">
      <c r="B69" s="201" t="s">
        <v>172</v>
      </c>
      <c r="C69" s="202">
        <v>45812</v>
      </c>
      <c r="D69" s="202">
        <f>+C69+D60+D61</f>
        <v>38278</v>
      </c>
      <c r="E69" s="202">
        <f>+D69+E60+E61</f>
        <v>30718</v>
      </c>
      <c r="F69" s="202">
        <f>+E69+F60+F61</f>
        <v>24631</v>
      </c>
      <c r="G69" s="202">
        <f>+F69+G60+G61</f>
        <v>18660</v>
      </c>
    </row>
    <row r="70" ht="12.75">
      <c r="B70" s="152" t="s">
        <v>173</v>
      </c>
    </row>
    <row r="74" ht="15.75">
      <c r="B74" s="203" t="s">
        <v>174</v>
      </c>
    </row>
    <row r="75" spans="2:7" ht="13.5" thickBot="1">
      <c r="B75" s="170" t="s">
        <v>175</v>
      </c>
      <c r="C75" s="204">
        <v>2013</v>
      </c>
      <c r="D75" s="204">
        <v>2014</v>
      </c>
      <c r="E75" s="204">
        <v>2015</v>
      </c>
      <c r="F75" s="204">
        <v>2016</v>
      </c>
      <c r="G75" s="204">
        <v>2017</v>
      </c>
    </row>
    <row r="76" spans="2:7" ht="12.75">
      <c r="B76" s="191" t="s">
        <v>176</v>
      </c>
      <c r="C76" s="206">
        <f>SUM(C5:C6)</f>
        <v>48995</v>
      </c>
      <c r="D76" s="207">
        <f>SUM(D5:D6)</f>
        <v>49950</v>
      </c>
      <c r="E76" s="207">
        <f>SUM(E5:E6)</f>
        <v>49440</v>
      </c>
      <c r="F76" s="207">
        <f>SUM(F5:F6)</f>
        <v>49934.4</v>
      </c>
      <c r="G76" s="207">
        <f>SUM(G5:G6)</f>
        <v>50433.744</v>
      </c>
    </row>
    <row r="77" spans="2:7" ht="12.75">
      <c r="B77" s="118" t="s">
        <v>177</v>
      </c>
      <c r="C77" s="208">
        <f>+C13-C76-C78-C79</f>
        <v>10381</v>
      </c>
      <c r="D77" s="209">
        <f>+D13-D76-D78-D79</f>
        <v>9823</v>
      </c>
      <c r="E77" s="209">
        <f>+E13-E76-E78-E79</f>
        <v>9419.699999999997</v>
      </c>
      <c r="F77" s="209">
        <f>+F13-F76-F78-F79</f>
        <v>9513.897</v>
      </c>
      <c r="G77" s="209">
        <f>+G13-G76-G78-G79</f>
        <v>9609.035970000003</v>
      </c>
    </row>
    <row r="78" spans="2:7" ht="12.75">
      <c r="B78" s="118" t="s">
        <v>178</v>
      </c>
      <c r="C78" s="208">
        <f>+C7</f>
        <v>3392</v>
      </c>
      <c r="D78" s="209">
        <f>+D7</f>
        <v>2028</v>
      </c>
      <c r="E78" s="209">
        <f>+E7</f>
        <v>1935</v>
      </c>
      <c r="F78" s="209">
        <f>+F7</f>
        <v>1954.35</v>
      </c>
      <c r="G78" s="209">
        <f>+G7</f>
        <v>1973.8935</v>
      </c>
    </row>
    <row r="79" spans="2:7" ht="13.5" thickBot="1">
      <c r="B79" s="210" t="s">
        <v>179</v>
      </c>
      <c r="C79" s="211">
        <f>+C4</f>
        <v>20955</v>
      </c>
      <c r="D79" s="212">
        <f>+D4</f>
        <v>23364</v>
      </c>
      <c r="E79" s="212">
        <f>+E4</f>
        <v>11305</v>
      </c>
      <c r="F79" s="212">
        <f>+F4</f>
        <v>11418.05</v>
      </c>
      <c r="G79" s="212">
        <f>+G4</f>
        <v>11532.2305</v>
      </c>
    </row>
    <row r="80" spans="2:7" ht="12.75">
      <c r="B80" s="213" t="s">
        <v>164</v>
      </c>
      <c r="C80" s="214">
        <f>SUM(C76:C79)</f>
        <v>83723</v>
      </c>
      <c r="D80" s="215">
        <f>SUM(D76:D79)</f>
        <v>85165</v>
      </c>
      <c r="E80" s="215">
        <f>SUM(E76:E79)</f>
        <v>72099.7</v>
      </c>
      <c r="F80" s="215">
        <f>SUM(F76:F79)</f>
        <v>72820.697</v>
      </c>
      <c r="G80" s="215">
        <f>SUM(G76:G79)</f>
        <v>73548.90397</v>
      </c>
    </row>
    <row r="81" spans="2:7" ht="13.5" thickBot="1">
      <c r="B81" s="216" t="s">
        <v>180</v>
      </c>
      <c r="C81" s="217">
        <f>+C80</f>
        <v>83723</v>
      </c>
      <c r="D81" s="218">
        <f>+D80</f>
        <v>85165</v>
      </c>
      <c r="E81" s="218">
        <f>+E80</f>
        <v>72099.7</v>
      </c>
      <c r="F81" s="218">
        <f>+F80</f>
        <v>72820.697</v>
      </c>
      <c r="G81" s="218">
        <f>+G80</f>
        <v>73548.90397</v>
      </c>
    </row>
    <row r="82" spans="3:7" ht="13.5" thickBot="1">
      <c r="C82" s="219"/>
      <c r="D82" s="219"/>
      <c r="E82" s="219"/>
      <c r="F82" s="219"/>
      <c r="G82" s="219"/>
    </row>
    <row r="83" spans="2:7" ht="12.75">
      <c r="B83" s="191" t="s">
        <v>181</v>
      </c>
      <c r="C83" s="206">
        <f>+C27-C21</f>
        <v>61720</v>
      </c>
      <c r="D83" s="205">
        <f>+D27-D21</f>
        <v>56131</v>
      </c>
      <c r="E83" s="205">
        <f>+E27-E21</f>
        <v>55642.47</v>
      </c>
      <c r="F83" s="205">
        <f>+F27-F21</f>
        <v>56198.89469999999</v>
      </c>
      <c r="G83" s="205">
        <f>+G27-G21</f>
        <v>56760.88364700001</v>
      </c>
    </row>
    <row r="84" spans="2:7" ht="13.5" thickBot="1">
      <c r="B84" s="210" t="s">
        <v>182</v>
      </c>
      <c r="C84" s="220">
        <f>+C21</f>
        <v>12584</v>
      </c>
      <c r="D84" s="221">
        <f>+D21</f>
        <v>21500</v>
      </c>
      <c r="E84" s="221">
        <f>+E21</f>
        <v>8900</v>
      </c>
      <c r="F84" s="221">
        <f>+F21</f>
        <v>10400</v>
      </c>
      <c r="G84" s="221">
        <f>+G21</f>
        <v>10504</v>
      </c>
    </row>
    <row r="85" spans="2:7" ht="12.75">
      <c r="B85" s="222" t="s">
        <v>165</v>
      </c>
      <c r="C85" s="223">
        <f>SUM(C83:C84)</f>
        <v>74304</v>
      </c>
      <c r="D85" s="224">
        <f>SUM(D83:D84)</f>
        <v>77631</v>
      </c>
      <c r="E85" s="224">
        <f>SUM(E83:E84)</f>
        <v>64542.47</v>
      </c>
      <c r="F85" s="224">
        <f>SUM(F83:F84)</f>
        <v>66598.89469999999</v>
      </c>
      <c r="G85" s="224">
        <f>SUM(G83:G84)</f>
        <v>67264.88364700001</v>
      </c>
    </row>
    <row r="86" spans="2:7" ht="13.5" thickBot="1">
      <c r="B86" s="216" t="s">
        <v>183</v>
      </c>
      <c r="C86" s="217">
        <f>+C85</f>
        <v>74304</v>
      </c>
      <c r="D86" s="218">
        <f>+D85</f>
        <v>77631</v>
      </c>
      <c r="E86" s="218">
        <f>+E85</f>
        <v>64542.47</v>
      </c>
      <c r="F86" s="218">
        <f>+F85</f>
        <v>66598.89469999999</v>
      </c>
      <c r="G86" s="218">
        <f>+G85</f>
        <v>67264.88364700001</v>
      </c>
    </row>
    <row r="87" spans="3:7" ht="13.5" thickBot="1">
      <c r="C87" s="219"/>
      <c r="D87" s="219"/>
      <c r="E87" s="219"/>
      <c r="F87" s="219"/>
      <c r="G87" s="219"/>
    </row>
    <row r="88" spans="2:7" ht="13.5" thickBot="1">
      <c r="B88" s="225" t="s">
        <v>184</v>
      </c>
      <c r="C88" s="226">
        <f>+C81-C86-1</f>
        <v>9418</v>
      </c>
      <c r="D88" s="227">
        <f>+D81-D86-1</f>
        <v>7533</v>
      </c>
      <c r="E88" s="227">
        <f>+E81-E86-1</f>
        <v>7556.229999999996</v>
      </c>
      <c r="F88" s="227">
        <f>+F81-F86-1</f>
        <v>6220.80230000001</v>
      </c>
      <c r="G88" s="227">
        <f>+G81-G86-1</f>
        <v>6283.02032299999</v>
      </c>
    </row>
    <row r="89" spans="2:7" ht="12.75">
      <c r="B89" s="150"/>
      <c r="C89" s="228"/>
      <c r="D89" s="228"/>
      <c r="E89" s="228"/>
      <c r="F89" s="228"/>
      <c r="G89" s="228"/>
    </row>
    <row r="90" spans="2:7" ht="12.75">
      <c r="B90" s="170" t="s">
        <v>185</v>
      </c>
      <c r="C90" s="229">
        <f>+C83/C85</f>
        <v>0.8306416881998278</v>
      </c>
      <c r="D90" s="229">
        <f>+D83/D85</f>
        <v>0.7230487820587137</v>
      </c>
      <c r="E90" s="229">
        <f>+E83/E85</f>
        <v>0.8621062999293334</v>
      </c>
      <c r="F90" s="229">
        <f>+F83/F85</f>
        <v>0.8438412522182593</v>
      </c>
      <c r="G90" s="229">
        <f>+G83/G85</f>
        <v>0.8438412522182595</v>
      </c>
    </row>
    <row r="91" spans="2:7" ht="12.75">
      <c r="B91" s="170" t="s">
        <v>186</v>
      </c>
      <c r="C91" s="229">
        <f>+C84/C85</f>
        <v>0.16935831180017227</v>
      </c>
      <c r="D91" s="229">
        <f>+D84/D85</f>
        <v>0.27695121794128635</v>
      </c>
      <c r="E91" s="229">
        <f>+E84/E85</f>
        <v>0.13789370007066665</v>
      </c>
      <c r="F91" s="229">
        <f>+F84/F85</f>
        <v>0.1561587477817406</v>
      </c>
      <c r="G91" s="229">
        <f>+G84/G85</f>
        <v>0.15615874778174058</v>
      </c>
    </row>
    <row r="92" ht="12.75">
      <c r="C92" s="230"/>
    </row>
  </sheetData>
  <sheetProtection/>
  <mergeCells count="1">
    <mergeCell ref="B52:D52"/>
  </mergeCells>
  <printOptions/>
  <pageMargins left="0.5905511811023623" right="0.4724409448818898" top="0.984251968503937" bottom="0.9055118110236221" header="0.5118110236220472" footer="0.5118110236220472"/>
  <pageSetup horizontalDpi="600" verticalDpi="600" orientation="portrait" paperSize="9" scale="105" r:id="rId2"/>
  <headerFooter alignWithMargins="0">
    <oddHeader>&amp;C&amp;"Arial CE,Tučná kurzíva"&amp;14Rozpočtový výhled  2014-2017 schválený ZM 18.12.2013</oddHeader>
    <oddFooter>&amp;Rsestavil Ing.Hodek
&amp;D</oddFooter>
  </headerFooter>
  <rowBreaks count="1" manualBreakCount="1">
    <brk id="4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blovice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HodekM</dc:creator>
  <cp:keywords/>
  <dc:description/>
  <cp:lastModifiedBy>Michal Hodek</cp:lastModifiedBy>
  <cp:lastPrinted>2014-02-19T16:48:41Z</cp:lastPrinted>
  <dcterms:created xsi:type="dcterms:W3CDTF">2013-05-23T11:23:45Z</dcterms:created>
  <dcterms:modified xsi:type="dcterms:W3CDTF">2014-02-19T16:58:35Z</dcterms:modified>
  <cp:category/>
  <cp:version/>
  <cp:contentType/>
  <cp:contentStatus/>
</cp:coreProperties>
</file>