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145" activeTab="2"/>
  </bookViews>
  <sheets>
    <sheet name="Příjmy_Výdaje" sheetId="1" r:id="rId1"/>
    <sheet name="graf" sheetId="2" r:id="rId2"/>
    <sheet name="Rozvaha, ZaZ, dluh.služba" sheetId="3" r:id="rId3"/>
  </sheets>
  <externalReferences>
    <externalReference r:id="rId6"/>
  </externalReferences>
  <definedNames>
    <definedName name="_xlnm.Print_Area" localSheetId="1">'graf'!$A$1:$T$38</definedName>
    <definedName name="_xlnm.Print_Area" localSheetId="0">'Příjmy_Výdaje'!$A$1:$O$129</definedName>
    <definedName name="_xlnm.Print_Area" localSheetId="2">'Rozvaha, ZaZ, dluh.služba'!$A$1:$J$72</definedName>
  </definedNames>
  <calcPr fullCalcOnLoad="1"/>
</workbook>
</file>

<file path=xl/sharedStrings.xml><?xml version="1.0" encoding="utf-8"?>
<sst xmlns="http://schemas.openxmlformats.org/spreadsheetml/2006/main" count="366" uniqueCount="239">
  <si>
    <t xml:space="preserve">Příjmy - tis.Kč </t>
  </si>
  <si>
    <t>rozpočet 2012</t>
  </si>
  <si>
    <t>I.úprava</t>
  </si>
  <si>
    <t>II.úprava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</si>
  <si>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</si>
  <si>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</si>
  <si>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</si>
  <si>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</si>
  <si>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</si>
  <si>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</si>
  <si>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</si>
  <si>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</si>
  <si>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knihovna - PK</t>
  </si>
  <si>
    <t>dotace z UP na mzdy</t>
  </si>
  <si>
    <t>státní správa lesů</t>
  </si>
  <si>
    <t>vzdělávací program ZŠ (EU)</t>
  </si>
  <si>
    <t>oprava kolowratské kaple</t>
  </si>
  <si>
    <t>inv.dotace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</si>
  <si>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</si>
  <si>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</si>
  <si>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</si>
  <si>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</si>
  <si>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</si>
  <si>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</si>
  <si>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</si>
  <si>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</si>
  <si>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</si>
  <si>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</si>
  <si>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</si>
  <si>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</si>
  <si>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</si>
  <si>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</si>
  <si>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</si>
  <si>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</si>
  <si>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</si>
  <si>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</si>
  <si>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</si>
  <si>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</si>
  <si>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</si>
  <si>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</si>
  <si>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</si>
  <si>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</si>
  <si>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</si>
  <si>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</si>
  <si>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</si>
  <si>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</si>
  <si>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</si>
  <si>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</si>
  <si>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</si>
  <si>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</si>
  <si>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</si>
  <si>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</si>
  <si>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</si>
  <si>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</si>
  <si>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</si>
  <si>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</si>
  <si>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</si>
  <si>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</si>
  <si>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</si>
  <si>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</si>
  <si>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</si>
  <si>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</si>
  <si>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</si>
  <si>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</si>
  <si>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</si>
  <si>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</si>
  <si>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běžné příjmy</t>
  </si>
  <si>
    <t xml:space="preserve">Výdaje - tis.Kč </t>
  </si>
  <si>
    <t>ŠKOLSTVÍ</t>
  </si>
  <si>
    <t>ZŠ-ŠJ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</si>
  <si>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</si>
  <si>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</si>
  <si>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</si>
  <si>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</si>
  <si>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</si>
  <si>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</si>
  <si>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</si>
  <si>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</si>
  <si>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</si>
  <si>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</si>
  <si>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 xml:space="preserve">knihovna </t>
  </si>
  <si>
    <t>knihovna nákup knih</t>
  </si>
  <si>
    <t>ost.spolky+kult.akce</t>
  </si>
  <si>
    <t>ROZVOJ MĚSTA</t>
  </si>
  <si>
    <t>výtah DPS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</si>
  <si>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</si>
  <si>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</si>
  <si>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</si>
  <si>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</si>
  <si>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</si>
  <si>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</si>
  <si>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prac.četa města</t>
  </si>
  <si>
    <t>věř.osvětlení</t>
  </si>
  <si>
    <t>JSDH Blovice - provoz (JPOIII)</t>
  </si>
  <si>
    <t>RŮZNÉ VÝDAJE</t>
  </si>
  <si>
    <t>dopr.obslužnost+BUS</t>
  </si>
  <si>
    <t>čistírna</t>
  </si>
  <si>
    <t>odvod daně Fú (DPPO+DPH)</t>
  </si>
  <si>
    <t>Mikroregion - fin.spoluúčast</t>
  </si>
  <si>
    <t>"Čistá Berounka" provoz svazku</t>
  </si>
  <si>
    <t>státní správa lesů neinv.</t>
  </si>
  <si>
    <t>drobné opravy, služby</t>
  </si>
  <si>
    <t>SOC.VĚCI</t>
  </si>
  <si>
    <t>peč.služba</t>
  </si>
  <si>
    <t>CELKEM VÝDAJE PŘED KONS.</t>
  </si>
  <si>
    <t>CELKEM VÝDAJE PO KONS.</t>
  </si>
  <si>
    <t>běžné výdaje</t>
  </si>
  <si>
    <t>saldo běžného hosp.</t>
  </si>
  <si>
    <t>HV PO KONSOLIDACI</t>
  </si>
  <si>
    <t>podíl salda na běž.příjmech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</si>
  <si>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</si>
  <si>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</si>
  <si>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</si>
  <si>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</si>
  <si>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</si>
  <si>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</si>
  <si>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</si>
  <si>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</si>
  <si>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</si>
  <si>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</si>
  <si>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</si>
  <si>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sousoší Ukřižování - SZIF</t>
  </si>
  <si>
    <t>kotelna DPS</t>
  </si>
  <si>
    <t>nevyuž.dotace 2013</t>
  </si>
  <si>
    <t xml:space="preserve">ostatní </t>
  </si>
  <si>
    <t>veřejná zeleň pro zemní val</t>
  </si>
  <si>
    <t>¨¨¨¨¨¨¨¨¨¨¨¨¨¨¨¨¨¨¨¨¨¨¨¨¨¨¨¨¨¨¨¨¨¨¨¨¨¨¨¨¨¨¨¨¨¨¨¨¨¨¨¨¨¨¨¨¨¨¨¨¨¨¨¨</t>
  </si>
  <si>
    <t>mimoř.neinv.akce</t>
  </si>
  <si>
    <t xml:space="preserve">LESY </t>
  </si>
  <si>
    <t>zateplení sálu LD - OPŽP</t>
  </si>
  <si>
    <t>oslavy 730 let města Blovice</t>
  </si>
  <si>
    <t>optický kabel města</t>
  </si>
  <si>
    <t>prodeje staveb a ost. majetku</t>
  </si>
  <si>
    <t>výstavba sběr.dvora - OPŽP</t>
  </si>
  <si>
    <t xml:space="preserve">přírodní koupací biotop </t>
  </si>
  <si>
    <t>pojistné a bank.poplatky</t>
  </si>
  <si>
    <t>Přijaté úvěry krátkodobé</t>
  </si>
  <si>
    <t>odpadové hospodářství</t>
  </si>
  <si>
    <t>ZŠ-plavecká učebna, oprava</t>
  </si>
  <si>
    <t>chodník Luční (u mostu)</t>
  </si>
  <si>
    <t>ZŠ Blovice - projekt ROP</t>
  </si>
  <si>
    <t>MK Hájek - ul.5.května, PD</t>
  </si>
  <si>
    <t xml:space="preserve">sousoší Ukřižování </t>
  </si>
  <si>
    <t>TJ Sokol provoz a odd.nár.házená</t>
  </si>
  <si>
    <t>ZŠ provoz, projekty</t>
  </si>
  <si>
    <t>hasič.zbrojnice PD</t>
  </si>
  <si>
    <t>oprava chodby radnice</t>
  </si>
  <si>
    <t>oprava střechy a fasády radnice</t>
  </si>
  <si>
    <t>přírodní koupací biotop -ROP</t>
  </si>
  <si>
    <t>rekonstrukce ulice Branka - ROP</t>
  </si>
  <si>
    <t xml:space="preserve">plynofikace Komorno </t>
  </si>
  <si>
    <t>příspěvek na plyn.Komorno (RWE)</t>
  </si>
  <si>
    <t>revitalizace Raušarových sadů</t>
  </si>
  <si>
    <t xml:space="preserve">úpravy pod kostelem </t>
  </si>
  <si>
    <t>veřejná zeleň pro zemní val (OPŽP)</t>
  </si>
  <si>
    <t>kanalizace Branka, Jirotova</t>
  </si>
  <si>
    <t xml:space="preserve">zateplení sálu LD </t>
  </si>
  <si>
    <t>biotop - provoz</t>
  </si>
  <si>
    <t xml:space="preserve">sběrný dvůr Blovice </t>
  </si>
  <si>
    <t>modernizace sport.rekr.areálu (ROP)</t>
  </si>
  <si>
    <t>výsledek 1.pol.2014</t>
  </si>
  <si>
    <t xml:space="preserve"> rozpočet II.úprava</t>
  </si>
  <si>
    <t>Oprav.pol.k peněž.operacím</t>
  </si>
  <si>
    <t>úroky z úvěrů (bez busu)</t>
  </si>
  <si>
    <t>Příjmy</t>
  </si>
  <si>
    <t>Dotace</t>
  </si>
  <si>
    <t>Daně</t>
  </si>
  <si>
    <t xml:space="preserve">Poplatky </t>
  </si>
  <si>
    <t>Prodeje</t>
  </si>
  <si>
    <t>Nájmy</t>
  </si>
  <si>
    <t>Lesy</t>
  </si>
  <si>
    <t>BH převod</t>
  </si>
  <si>
    <t>Zvl. příjmy</t>
  </si>
  <si>
    <t>Fondy po kons.</t>
  </si>
  <si>
    <t>CELKEM po kons.</t>
  </si>
  <si>
    <t>Výdaje</t>
  </si>
  <si>
    <t>Školství</t>
  </si>
  <si>
    <t>Kultura a sport</t>
  </si>
  <si>
    <t>Rozvoj města</t>
  </si>
  <si>
    <t>Údržba města</t>
  </si>
  <si>
    <t>Různé výdaje</t>
  </si>
  <si>
    <t>Soc.věci</t>
  </si>
  <si>
    <t xml:space="preserve">Příjmy - Výdaje </t>
  </si>
  <si>
    <t>Správa MěÚ po kons.</t>
  </si>
  <si>
    <t>ROZVAHA - PŘEHLED MAJETKU  MĚSTA BLOVICE  A JEHO ZDROJŮ</t>
  </si>
  <si>
    <t>AKTIVA v tis.Kč</t>
  </si>
  <si>
    <t>k 31.12.2013</t>
  </si>
  <si>
    <t>změna %</t>
  </si>
  <si>
    <t>Stálá aktiva:</t>
  </si>
  <si>
    <t>z toho:</t>
  </si>
  <si>
    <t>Dlouhodobý nehmotný majetek</t>
  </si>
  <si>
    <t>Dlouhodobý hmotný majetek</t>
  </si>
  <si>
    <t>Dlouhodobé pohledávky</t>
  </si>
  <si>
    <t>Oběžná aktiva:</t>
  </si>
  <si>
    <t>Zásoby</t>
  </si>
  <si>
    <t>Krátkodobé pohledávky</t>
  </si>
  <si>
    <t xml:space="preserve">Krátkodobý finanční majetek </t>
  </si>
  <si>
    <t>CELKEM AKTIVA</t>
  </si>
  <si>
    <t>PASIVA v tis.Kč</t>
  </si>
  <si>
    <t>Vlastní kapitál:</t>
  </si>
  <si>
    <t>Jmění účetní jednotky</t>
  </si>
  <si>
    <t>Fondy účetní jednotky</t>
  </si>
  <si>
    <t>Výsledek hospodaření</t>
  </si>
  <si>
    <t>Cizí zdroje:</t>
  </si>
  <si>
    <t xml:space="preserve">Dlouhodobé závazky </t>
  </si>
  <si>
    <t>Krátkodobé závazky</t>
  </si>
  <si>
    <t>CELKEM PASIVA</t>
  </si>
  <si>
    <t>VÝKAZ ZISKU A ZTRÁTY  - HLAVNÍ ČINNOST MĚSTA BLOVICE</t>
  </si>
  <si>
    <t>Název ukazatele v tis.Kč</t>
  </si>
  <si>
    <t>Účtová třída 5 (náklady) celkem</t>
  </si>
  <si>
    <t>náklady z činnosti</t>
  </si>
  <si>
    <t>finanční náklady</t>
  </si>
  <si>
    <t>náklady na transfery (dotace)</t>
  </si>
  <si>
    <t>Účtová třída 6 (výnosy) celkem</t>
  </si>
  <si>
    <t>výnosy z činnosti</t>
  </si>
  <si>
    <t>finanční výnosy</t>
  </si>
  <si>
    <t>výnosy z transferů (dotací)</t>
  </si>
  <si>
    <t>výnosy z daní a popl.</t>
  </si>
  <si>
    <t xml:space="preserve">Hospodářský výsledek </t>
  </si>
  <si>
    <t>daň z příjmů</t>
  </si>
  <si>
    <t>Hospodářský výsledek po zdanění</t>
  </si>
  <si>
    <t>VÝKAZ ZISKU A ZTRÁTY - BYTOVÉ HOSPODÁŘSTVÍ MĚSTA BLOVICE</t>
  </si>
  <si>
    <t>energie, mater.</t>
  </si>
  <si>
    <t>opravy</t>
  </si>
  <si>
    <t>služby</t>
  </si>
  <si>
    <t>odpisy</t>
  </si>
  <si>
    <t>jiné náklady</t>
  </si>
  <si>
    <t>výnosy z činnosti (pronájmy)</t>
  </si>
  <si>
    <t>výnosy z transferů</t>
  </si>
  <si>
    <t xml:space="preserve">DLUHOVÁ SLUŽBA A ZADLUŽENÍ MĚSTA BLOVICE </t>
  </si>
  <si>
    <t>Název ukazatele v tis.Kč - dluhová služba</t>
  </si>
  <si>
    <t>Příjmy po konsolidaci</t>
  </si>
  <si>
    <t>Dluhová služba (úroky, jistiny, leasing)</t>
  </si>
  <si>
    <t>Ukazatel dluhové služby (%)</t>
  </si>
  <si>
    <t>Název ukazatele v tis.Kč - úvěrová zadluženost</t>
  </si>
  <si>
    <t>Dlouhodobé úvěry a závazky</t>
  </si>
  <si>
    <t>Krátkodobé úvěry</t>
  </si>
  <si>
    <t>k 1.1.2014</t>
  </si>
  <si>
    <t>k 30.6.2014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</si>
</sst>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63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u val="single"/>
      <sz val="12"/>
      <name val="Arial CE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1.75"/>
      <color indexed="8"/>
      <name val="Arial"/>
      <family val="2"/>
    </font>
    <font>
      <b/>
      <sz val="8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" fontId="2" fillId="0" borderId="3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2" fillId="0" borderId="2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65" fontId="0" fillId="0" borderId="0" xfId="51" applyNumberFormat="1" applyFont="1" applyAlignment="1">
      <alignment/>
    </xf>
    <xf numFmtId="1" fontId="3" fillId="0" borderId="3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46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50" xfId="48" applyFont="1" applyBorder="1">
      <alignment/>
      <protection/>
    </xf>
    <xf numFmtId="1" fontId="2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2" fontId="0" fillId="0" borderId="0" xfId="0" applyNumberFormat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3" fillId="0" borderId="33" xfId="0" applyNumberFormat="1" applyFont="1" applyFill="1" applyBorder="1" applyAlignment="1" applyProtection="1">
      <alignment/>
      <protection locked="0"/>
    </xf>
    <xf numFmtId="164" fontId="3" fillId="0" borderId="33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2" fillId="0" borderId="56" xfId="48" applyNumberFormat="1" applyFont="1" applyBorder="1">
      <alignment/>
      <protection/>
    </xf>
    <xf numFmtId="164" fontId="6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/>
      <protection locked="0"/>
    </xf>
    <xf numFmtId="164" fontId="2" fillId="0" borderId="3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57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65" fontId="5" fillId="0" borderId="0" xfId="51" applyNumberFormat="1" applyFont="1" applyFill="1" applyBorder="1" applyAlignment="1">
      <alignment/>
    </xf>
    <xf numFmtId="165" fontId="6" fillId="0" borderId="0" xfId="51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56" xfId="48" applyNumberFormat="1" applyFont="1" applyBorder="1">
      <alignment/>
      <protection/>
    </xf>
    <xf numFmtId="1" fontId="3" fillId="0" borderId="35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4" fontId="3" fillId="0" borderId="46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46" xfId="0" applyNumberFormat="1" applyFont="1" applyFill="1" applyBorder="1" applyAlignment="1">
      <alignment horizontal="center"/>
    </xf>
    <xf numFmtId="0" fontId="32" fillId="0" borderId="38" xfId="49" applyFont="1" applyBorder="1" applyAlignment="1">
      <alignment horizontal="center"/>
      <protection/>
    </xf>
    <xf numFmtId="0" fontId="32" fillId="0" borderId="39" xfId="49" applyFont="1" applyBorder="1" applyAlignment="1">
      <alignment horizontal="center"/>
      <protection/>
    </xf>
    <xf numFmtId="0" fontId="2" fillId="0" borderId="41" xfId="49" applyBorder="1" applyAlignment="1">
      <alignment horizontal="right"/>
      <protection/>
    </xf>
    <xf numFmtId="0" fontId="2" fillId="0" borderId="0" xfId="49">
      <alignment/>
      <protection/>
    </xf>
    <xf numFmtId="0" fontId="3" fillId="0" borderId="34" xfId="49" applyFont="1" applyBorder="1">
      <alignment/>
      <protection/>
    </xf>
    <xf numFmtId="0" fontId="3" fillId="0" borderId="23" xfId="49" applyFont="1" applyBorder="1">
      <alignment/>
      <protection/>
    </xf>
    <xf numFmtId="1" fontId="2" fillId="0" borderId="36" xfId="49" applyNumberFormat="1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38" xfId="49" applyFont="1" applyBorder="1">
      <alignment/>
      <protection/>
    </xf>
    <xf numFmtId="0" fontId="3" fillId="0" borderId="39" xfId="49" applyFont="1" applyBorder="1">
      <alignment/>
      <protection/>
    </xf>
    <xf numFmtId="1" fontId="3" fillId="0" borderId="41" xfId="49" applyNumberFormat="1" applyFont="1" applyBorder="1">
      <alignment/>
      <protection/>
    </xf>
    <xf numFmtId="0" fontId="3" fillId="0" borderId="0" xfId="49" applyFont="1" applyBorder="1">
      <alignment/>
      <protection/>
    </xf>
    <xf numFmtId="0" fontId="2" fillId="0" borderId="0" xfId="49" applyBorder="1">
      <alignment/>
      <protection/>
    </xf>
    <xf numFmtId="0" fontId="2" fillId="0" borderId="0" xfId="49" applyAlignment="1">
      <alignment horizontal="right"/>
      <protection/>
    </xf>
    <xf numFmtId="0" fontId="32" fillId="0" borderId="10" xfId="49" applyFont="1" applyBorder="1" applyAlignment="1">
      <alignment horizontal="center"/>
      <protection/>
    </xf>
    <xf numFmtId="0" fontId="32" fillId="0" borderId="58" xfId="49" applyFont="1" applyBorder="1" applyAlignment="1">
      <alignment horizontal="center"/>
      <protection/>
    </xf>
    <xf numFmtId="0" fontId="3" fillId="0" borderId="35" xfId="49" applyFont="1" applyBorder="1">
      <alignment/>
      <protection/>
    </xf>
    <xf numFmtId="0" fontId="3" fillId="0" borderId="23" xfId="49" applyFont="1" applyFill="1" applyBorder="1">
      <alignment/>
      <protection/>
    </xf>
    <xf numFmtId="0" fontId="3" fillId="0" borderId="25" xfId="49" applyFont="1" applyFill="1" applyBorder="1">
      <alignment/>
      <protection/>
    </xf>
    <xf numFmtId="0" fontId="3" fillId="0" borderId="26" xfId="49" applyFont="1" applyBorder="1">
      <alignment/>
      <protection/>
    </xf>
    <xf numFmtId="0" fontId="3" fillId="0" borderId="10" xfId="49" applyFont="1" applyBorder="1">
      <alignment/>
      <protection/>
    </xf>
    <xf numFmtId="0" fontId="2" fillId="0" borderId="11" xfId="49" applyFont="1" applyBorder="1">
      <alignment/>
      <protection/>
    </xf>
    <xf numFmtId="1" fontId="3" fillId="0" borderId="46" xfId="49" applyNumberFormat="1" applyFont="1" applyBorder="1">
      <alignment/>
      <protection/>
    </xf>
    <xf numFmtId="0" fontId="32" fillId="0" borderId="0" xfId="49" applyFont="1" applyAlignment="1">
      <alignment/>
      <protection/>
    </xf>
    <xf numFmtId="0" fontId="2" fillId="0" borderId="0" xfId="49" applyFont="1" applyAlignment="1">
      <alignment/>
      <protection/>
    </xf>
    <xf numFmtId="0" fontId="33" fillId="0" borderId="0" xfId="49" applyFont="1" applyFill="1" applyBorder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3" fillId="0" borderId="10" xfId="49" applyFont="1" applyFill="1" applyBorder="1" applyAlignment="1">
      <alignment horizontal="left"/>
      <protection/>
    </xf>
    <xf numFmtId="0" fontId="33" fillId="0" borderId="11" xfId="49" applyFont="1" applyFill="1" applyBorder="1" applyAlignment="1">
      <alignment horizontal="center"/>
      <protection/>
    </xf>
    <xf numFmtId="0" fontId="33" fillId="0" borderId="46" xfId="49" applyFont="1" applyFill="1" applyBorder="1" applyAlignment="1">
      <alignment horizontal="center"/>
      <protection/>
    </xf>
    <xf numFmtId="0" fontId="34" fillId="0" borderId="10" xfId="49" applyFont="1" applyBorder="1" applyAlignment="1">
      <alignment horizontal="center"/>
      <protection/>
    </xf>
    <xf numFmtId="0" fontId="34" fillId="0" borderId="11" xfId="49" applyFont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0" fontId="4" fillId="0" borderId="46" xfId="49" applyFont="1" applyFill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4" fillId="0" borderId="46" xfId="49" applyFont="1" applyBorder="1" applyAlignment="1">
      <alignment horizontal="center"/>
      <protection/>
    </xf>
    <xf numFmtId="0" fontId="4" fillId="0" borderId="20" xfId="49" applyFont="1" applyFill="1" applyBorder="1">
      <alignment/>
      <protection/>
    </xf>
    <xf numFmtId="0" fontId="2" fillId="0" borderId="59" xfId="49" applyBorder="1">
      <alignment/>
      <protection/>
    </xf>
    <xf numFmtId="0" fontId="2" fillId="0" borderId="10" xfId="49" applyFont="1" applyBorder="1">
      <alignment/>
      <protection/>
    </xf>
    <xf numFmtId="0" fontId="2" fillId="0" borderId="46" xfId="49" applyFont="1" applyBorder="1">
      <alignment/>
      <protection/>
    </xf>
    <xf numFmtId="0" fontId="2" fillId="0" borderId="10" xfId="49" applyFill="1" applyBorder="1">
      <alignment/>
      <protection/>
    </xf>
    <xf numFmtId="0" fontId="3" fillId="0" borderId="46" xfId="49" applyFont="1" applyFill="1" applyBorder="1">
      <alignment/>
      <protection/>
    </xf>
    <xf numFmtId="165" fontId="2" fillId="0" borderId="10" xfId="49" applyNumberFormat="1" applyBorder="1">
      <alignment/>
      <protection/>
    </xf>
    <xf numFmtId="165" fontId="2" fillId="0" borderId="46" xfId="52" applyNumberFormat="1" applyFont="1" applyBorder="1" applyAlignment="1">
      <alignment/>
    </xf>
    <xf numFmtId="0" fontId="2" fillId="0" borderId="20" xfId="49" applyFont="1" applyBorder="1">
      <alignment/>
      <protection/>
    </xf>
    <xf numFmtId="0" fontId="2" fillId="0" borderId="59" xfId="49" applyFont="1" applyFill="1" applyBorder="1">
      <alignment/>
      <protection/>
    </xf>
    <xf numFmtId="0" fontId="2" fillId="0" borderId="60" xfId="49" applyBorder="1">
      <alignment/>
      <protection/>
    </xf>
    <xf numFmtId="0" fontId="2" fillId="0" borderId="0" xfId="49" applyFont="1" applyBorder="1">
      <alignment/>
      <protection/>
    </xf>
    <xf numFmtId="0" fontId="2" fillId="0" borderId="61" xfId="49" applyFont="1" applyBorder="1">
      <alignment/>
      <protection/>
    </xf>
    <xf numFmtId="0" fontId="3" fillId="0" borderId="47" xfId="49" applyFont="1" applyBorder="1">
      <alignment/>
      <protection/>
    </xf>
    <xf numFmtId="0" fontId="3" fillId="0" borderId="61" xfId="49" applyFont="1" applyBorder="1">
      <alignment/>
      <protection/>
    </xf>
    <xf numFmtId="165" fontId="2" fillId="0" borderId="47" xfId="49" applyNumberFormat="1" applyBorder="1">
      <alignment/>
      <protection/>
    </xf>
    <xf numFmtId="165" fontId="2" fillId="0" borderId="61" xfId="52" applyNumberFormat="1" applyFont="1" applyBorder="1" applyAlignment="1">
      <alignment/>
    </xf>
    <xf numFmtId="0" fontId="2" fillId="0" borderId="47" xfId="49" applyBorder="1">
      <alignment/>
      <protection/>
    </xf>
    <xf numFmtId="0" fontId="2" fillId="0" borderId="0" xfId="49" applyFont="1" applyFill="1" applyBorder="1">
      <alignment/>
      <protection/>
    </xf>
    <xf numFmtId="0" fontId="2" fillId="0" borderId="61" xfId="49" applyBorder="1">
      <alignment/>
      <protection/>
    </xf>
    <xf numFmtId="0" fontId="2" fillId="0" borderId="45" xfId="49" applyBorder="1">
      <alignment/>
      <protection/>
    </xf>
    <xf numFmtId="0" fontId="2" fillId="0" borderId="62" xfId="49" applyFont="1" applyFill="1" applyBorder="1">
      <alignment/>
      <protection/>
    </xf>
    <xf numFmtId="0" fontId="2" fillId="0" borderId="62" xfId="49" applyBorder="1">
      <alignment/>
      <protection/>
    </xf>
    <xf numFmtId="0" fontId="2" fillId="0" borderId="54" xfId="49" applyBorder="1">
      <alignment/>
      <protection/>
    </xf>
    <xf numFmtId="0" fontId="2" fillId="0" borderId="62" xfId="49" applyFont="1" applyBorder="1">
      <alignment/>
      <protection/>
    </xf>
    <xf numFmtId="0" fontId="2" fillId="0" borderId="54" xfId="49" applyFont="1" applyBorder="1">
      <alignment/>
      <protection/>
    </xf>
    <xf numFmtId="0" fontId="3" fillId="0" borderId="45" xfId="49" applyFont="1" applyBorder="1">
      <alignment/>
      <protection/>
    </xf>
    <xf numFmtId="0" fontId="3" fillId="0" borderId="54" xfId="49" applyFont="1" applyBorder="1">
      <alignment/>
      <protection/>
    </xf>
    <xf numFmtId="165" fontId="2" fillId="0" borderId="45" xfId="49" applyNumberFormat="1" applyBorder="1">
      <alignment/>
      <protection/>
    </xf>
    <xf numFmtId="165" fontId="2" fillId="0" borderId="54" xfId="52" applyNumberFormat="1" applyFont="1" applyBorder="1" applyAlignment="1">
      <alignment/>
    </xf>
    <xf numFmtId="0" fontId="2" fillId="0" borderId="59" xfId="49" applyFont="1" applyBorder="1">
      <alignment/>
      <protection/>
    </xf>
    <xf numFmtId="0" fontId="3" fillId="0" borderId="10" xfId="49" applyFont="1" applyBorder="1">
      <alignment/>
      <protection/>
    </xf>
    <xf numFmtId="0" fontId="3" fillId="0" borderId="46" xfId="49" applyFont="1" applyBorder="1">
      <alignment/>
      <protection/>
    </xf>
    <xf numFmtId="165" fontId="2" fillId="0" borderId="20" xfId="49" applyNumberFormat="1" applyBorder="1">
      <alignment/>
      <protection/>
    </xf>
    <xf numFmtId="0" fontId="3" fillId="0" borderId="45" xfId="49" applyFont="1" applyBorder="1">
      <alignment/>
      <protection/>
    </xf>
    <xf numFmtId="0" fontId="2" fillId="33" borderId="11" xfId="49" applyFont="1" applyFill="1" applyBorder="1">
      <alignment/>
      <protection/>
    </xf>
    <xf numFmtId="0" fontId="3" fillId="0" borderId="63" xfId="49" applyFont="1" applyFill="1" applyBorder="1">
      <alignment/>
      <protection/>
    </xf>
    <xf numFmtId="0" fontId="3" fillId="33" borderId="46" xfId="49" applyFont="1" applyFill="1" applyBorder="1">
      <alignment/>
      <protection/>
    </xf>
    <xf numFmtId="165" fontId="2" fillId="0" borderId="11" xfId="49" applyNumberFormat="1" applyBorder="1">
      <alignment/>
      <protection/>
    </xf>
    <xf numFmtId="165" fontId="3" fillId="0" borderId="46" xfId="52" applyNumberFormat="1" applyFont="1" applyBorder="1" applyAlignment="1">
      <alignment/>
    </xf>
    <xf numFmtId="0" fontId="2" fillId="0" borderId="0" xfId="49" applyFont="1">
      <alignment/>
      <protection/>
    </xf>
    <xf numFmtId="165" fontId="2" fillId="0" borderId="0" xfId="49" applyNumberFormat="1">
      <alignment/>
      <protection/>
    </xf>
    <xf numFmtId="0" fontId="35" fillId="0" borderId="11" xfId="49" applyFont="1" applyFill="1" applyBorder="1" applyAlignment="1">
      <alignment horizontal="center"/>
      <protection/>
    </xf>
    <xf numFmtId="165" fontId="4" fillId="0" borderId="10" xfId="49" applyNumberFormat="1" applyFont="1" applyBorder="1" applyAlignment="1">
      <alignment horizontal="center"/>
      <protection/>
    </xf>
    <xf numFmtId="165" fontId="4" fillId="0" borderId="46" xfId="49" applyNumberFormat="1" applyFont="1" applyBorder="1" applyAlignment="1">
      <alignment horizontal="center"/>
      <protection/>
    </xf>
    <xf numFmtId="0" fontId="2" fillId="0" borderId="11" xfId="49" applyFill="1" applyBorder="1">
      <alignment/>
      <protection/>
    </xf>
    <xf numFmtId="0" fontId="3" fillId="0" borderId="0" xfId="49" applyFont="1" applyBorder="1">
      <alignment/>
      <protection/>
    </xf>
    <xf numFmtId="0" fontId="3" fillId="0" borderId="62" xfId="49" applyFont="1" applyBorder="1">
      <alignment/>
      <protection/>
    </xf>
    <xf numFmtId="0" fontId="4" fillId="0" borderId="47" xfId="49" applyFont="1" applyFill="1" applyBorder="1">
      <alignment/>
      <protection/>
    </xf>
    <xf numFmtId="0" fontId="3" fillId="0" borderId="11" xfId="49" applyFont="1" applyBorder="1">
      <alignment/>
      <protection/>
    </xf>
    <xf numFmtId="0" fontId="2" fillId="0" borderId="47" xfId="49" applyFont="1" applyBorder="1">
      <alignment/>
      <protection/>
    </xf>
    <xf numFmtId="0" fontId="3" fillId="0" borderId="0" xfId="49" applyFont="1">
      <alignment/>
      <protection/>
    </xf>
    <xf numFmtId="0" fontId="2" fillId="33" borderId="46" xfId="49" applyFont="1" applyFill="1" applyBorder="1">
      <alignment/>
      <protection/>
    </xf>
    <xf numFmtId="0" fontId="3" fillId="0" borderId="46" xfId="49" applyFont="1" applyFill="1" applyBorder="1">
      <alignment/>
      <protection/>
    </xf>
    <xf numFmtId="0" fontId="3" fillId="0" borderId="20" xfId="49" applyFont="1" applyFill="1" applyBorder="1">
      <alignment/>
      <protection/>
    </xf>
    <xf numFmtId="0" fontId="2" fillId="0" borderId="20" xfId="49" applyBorder="1">
      <alignment/>
      <protection/>
    </xf>
    <xf numFmtId="0" fontId="34" fillId="0" borderId="20" xfId="49" applyFont="1" applyFill="1" applyBorder="1" applyAlignment="1">
      <alignment horizontal="center"/>
      <protection/>
    </xf>
    <xf numFmtId="0" fontId="34" fillId="0" borderId="60" xfId="49" applyFont="1" applyFill="1" applyBorder="1" applyAlignment="1">
      <alignment horizontal="center"/>
      <protection/>
    </xf>
    <xf numFmtId="0" fontId="4" fillId="0" borderId="59" xfId="49" applyFont="1" applyBorder="1" applyAlignment="1">
      <alignment horizontal="center"/>
      <protection/>
    </xf>
    <xf numFmtId="0" fontId="4" fillId="0" borderId="60" xfId="49" applyFont="1" applyBorder="1" applyAlignment="1">
      <alignment horizontal="center"/>
      <protection/>
    </xf>
    <xf numFmtId="0" fontId="2" fillId="0" borderId="63" xfId="49" applyFont="1" applyFill="1" applyBorder="1">
      <alignment/>
      <protection/>
    </xf>
    <xf numFmtId="0" fontId="2" fillId="0" borderId="46" xfId="49" applyFont="1" applyFill="1" applyBorder="1">
      <alignment/>
      <protection/>
    </xf>
    <xf numFmtId="0" fontId="3" fillId="0" borderId="63" xfId="49" applyFont="1" applyFill="1" applyBorder="1">
      <alignment/>
      <protection/>
    </xf>
    <xf numFmtId="0" fontId="2" fillId="0" borderId="11" xfId="49" applyBorder="1">
      <alignment/>
      <protection/>
    </xf>
    <xf numFmtId="9" fontId="3" fillId="0" borderId="46" xfId="52" applyFont="1" applyBorder="1" applyAlignment="1">
      <alignment/>
    </xf>
    <xf numFmtId="0" fontId="2" fillId="0" borderId="64" xfId="49" applyFont="1" applyFill="1" applyBorder="1">
      <alignment/>
      <protection/>
    </xf>
    <xf numFmtId="0" fontId="2" fillId="0" borderId="61" xfId="49" applyFont="1" applyFill="1" applyBorder="1">
      <alignment/>
      <protection/>
    </xf>
    <xf numFmtId="0" fontId="3" fillId="0" borderId="64" xfId="49" applyFont="1" applyFill="1" applyBorder="1">
      <alignment/>
      <protection/>
    </xf>
    <xf numFmtId="0" fontId="3" fillId="0" borderId="61" xfId="49" applyFont="1" applyFill="1" applyBorder="1">
      <alignment/>
      <protection/>
    </xf>
    <xf numFmtId="9" fontId="2" fillId="0" borderId="61" xfId="52" applyFont="1" applyBorder="1" applyAlignment="1">
      <alignment/>
    </xf>
    <xf numFmtId="0" fontId="2" fillId="0" borderId="57" xfId="49" applyFont="1" applyFill="1" applyBorder="1">
      <alignment/>
      <protection/>
    </xf>
    <xf numFmtId="0" fontId="2" fillId="0" borderId="54" xfId="49" applyFont="1" applyFill="1" applyBorder="1">
      <alignment/>
      <protection/>
    </xf>
    <xf numFmtId="0" fontId="3" fillId="0" borderId="57" xfId="49" applyFont="1" applyFill="1" applyBorder="1">
      <alignment/>
      <protection/>
    </xf>
    <xf numFmtId="0" fontId="3" fillId="0" borderId="54" xfId="49" applyFont="1" applyFill="1" applyBorder="1">
      <alignment/>
      <protection/>
    </xf>
    <xf numFmtId="0" fontId="3" fillId="33" borderId="46" xfId="49" applyFont="1" applyFill="1" applyBorder="1">
      <alignment/>
      <protection/>
    </xf>
    <xf numFmtId="9" fontId="2" fillId="0" borderId="48" xfId="52" applyFont="1" applyBorder="1" applyAlignment="1">
      <alignment/>
    </xf>
    <xf numFmtId="0" fontId="3" fillId="0" borderId="65" xfId="49" applyFont="1" applyBorder="1">
      <alignment/>
      <protection/>
    </xf>
    <xf numFmtId="0" fontId="2" fillId="0" borderId="66" xfId="49" applyBorder="1">
      <alignment/>
      <protection/>
    </xf>
    <xf numFmtId="0" fontId="2" fillId="0" borderId="65" xfId="49" applyFont="1" applyBorder="1">
      <alignment/>
      <protection/>
    </xf>
    <xf numFmtId="0" fontId="2" fillId="0" borderId="67" xfId="49" applyFont="1" applyBorder="1">
      <alignment/>
      <protection/>
    </xf>
    <xf numFmtId="0" fontId="3" fillId="0" borderId="67" xfId="49" applyFont="1" applyBorder="1">
      <alignment/>
      <protection/>
    </xf>
    <xf numFmtId="9" fontId="3" fillId="0" borderId="54" xfId="52" applyFont="1" applyBorder="1" applyAlignment="1">
      <alignment/>
    </xf>
    <xf numFmtId="9" fontId="2" fillId="0" borderId="0" xfId="52" applyFont="1" applyBorder="1" applyAlignment="1">
      <alignment/>
    </xf>
    <xf numFmtId="0" fontId="4" fillId="0" borderId="11" xfId="49" applyFont="1" applyBorder="1" applyAlignment="1">
      <alignment horizontal="center"/>
      <protection/>
    </xf>
    <xf numFmtId="0" fontId="2" fillId="0" borderId="10" xfId="49" applyBorder="1">
      <alignment/>
      <protection/>
    </xf>
    <xf numFmtId="9" fontId="2" fillId="0" borderId="60" xfId="52" applyFont="1" applyBorder="1" applyAlignment="1">
      <alignment/>
    </xf>
    <xf numFmtId="9" fontId="2" fillId="0" borderId="54" xfId="52" applyFont="1" applyBorder="1" applyAlignment="1">
      <alignment/>
    </xf>
    <xf numFmtId="9" fontId="3" fillId="0" borderId="61" xfId="52" applyFont="1" applyBorder="1" applyAlignment="1">
      <alignment/>
    </xf>
    <xf numFmtId="0" fontId="2" fillId="0" borderId="20" xfId="49" applyFont="1" applyFill="1" applyBorder="1">
      <alignment/>
      <protection/>
    </xf>
    <xf numFmtId="0" fontId="3" fillId="0" borderId="68" xfId="49" applyFont="1" applyFill="1" applyBorder="1">
      <alignment/>
      <protection/>
    </xf>
    <xf numFmtId="0" fontId="2" fillId="0" borderId="47" xfId="49" applyFont="1" applyFill="1" applyBorder="1">
      <alignment/>
      <protection/>
    </xf>
    <xf numFmtId="0" fontId="2" fillId="0" borderId="10" xfId="49" applyFont="1" applyFill="1" applyBorder="1">
      <alignment/>
      <protection/>
    </xf>
    <xf numFmtId="0" fontId="2" fillId="33" borderId="63" xfId="49" applyFont="1" applyFill="1" applyBorder="1">
      <alignment/>
      <protection/>
    </xf>
    <xf numFmtId="0" fontId="3" fillId="33" borderId="63" xfId="49" applyFont="1" applyFill="1" applyBorder="1">
      <alignment/>
      <protection/>
    </xf>
    <xf numFmtId="0" fontId="3" fillId="0" borderId="24" xfId="49" applyFont="1" applyBorder="1">
      <alignment/>
      <protection/>
    </xf>
    <xf numFmtId="0" fontId="2" fillId="0" borderId="50" xfId="49" applyBorder="1">
      <alignment/>
      <protection/>
    </xf>
    <xf numFmtId="0" fontId="2" fillId="0" borderId="65" xfId="49" applyBorder="1">
      <alignment/>
      <protection/>
    </xf>
    <xf numFmtId="9" fontId="3" fillId="0" borderId="67" xfId="52" applyFont="1" applyBorder="1" applyAlignment="1">
      <alignment/>
    </xf>
    <xf numFmtId="0" fontId="33" fillId="0" borderId="0" xfId="49" applyFont="1" applyAlignment="1">
      <alignment horizontal="center"/>
      <protection/>
    </xf>
    <xf numFmtId="0" fontId="4" fillId="0" borderId="20" xfId="49" applyFont="1" applyBorder="1" applyAlignment="1">
      <alignment horizontal="center"/>
      <protection/>
    </xf>
    <xf numFmtId="0" fontId="3" fillId="0" borderId="20" xfId="49" applyFont="1" applyBorder="1">
      <alignment/>
      <protection/>
    </xf>
    <xf numFmtId="0" fontId="2" fillId="0" borderId="20" xfId="49" applyNumberFormat="1" applyFont="1" applyBorder="1">
      <alignment/>
      <protection/>
    </xf>
    <xf numFmtId="0" fontId="2" fillId="0" borderId="60" xfId="49" applyNumberFormat="1" applyFont="1" applyBorder="1">
      <alignment/>
      <protection/>
    </xf>
    <xf numFmtId="0" fontId="3" fillId="0" borderId="20" xfId="49" applyNumberFormat="1" applyFont="1" applyBorder="1">
      <alignment/>
      <protection/>
    </xf>
    <xf numFmtId="0" fontId="3" fillId="0" borderId="60" xfId="49" applyNumberFormat="1" applyFont="1" applyBorder="1">
      <alignment/>
      <protection/>
    </xf>
    <xf numFmtId="0" fontId="2" fillId="0" borderId="47" xfId="49" applyNumberFormat="1" applyFont="1" applyBorder="1">
      <alignment/>
      <protection/>
    </xf>
    <xf numFmtId="0" fontId="2" fillId="0" borderId="61" xfId="49" applyNumberFormat="1" applyFont="1" applyBorder="1">
      <alignment/>
      <protection/>
    </xf>
    <xf numFmtId="0" fontId="3" fillId="0" borderId="47" xfId="49" applyNumberFormat="1" applyFont="1" applyBorder="1">
      <alignment/>
      <protection/>
    </xf>
    <xf numFmtId="0" fontId="3" fillId="0" borderId="61" xfId="49" applyNumberFormat="1" applyFont="1" applyBorder="1">
      <alignment/>
      <protection/>
    </xf>
    <xf numFmtId="2" fontId="2" fillId="33" borderId="10" xfId="49" applyNumberFormat="1" applyFont="1" applyFill="1" applyBorder="1">
      <alignment/>
      <protection/>
    </xf>
    <xf numFmtId="2" fontId="2" fillId="33" borderId="46" xfId="49" applyNumberFormat="1" applyFont="1" applyFill="1" applyBorder="1">
      <alignment/>
      <protection/>
    </xf>
    <xf numFmtId="2" fontId="3" fillId="33" borderId="10" xfId="49" applyNumberFormat="1" applyFont="1" applyFill="1" applyBorder="1">
      <alignment/>
      <protection/>
    </xf>
    <xf numFmtId="2" fontId="3" fillId="33" borderId="46" xfId="49" applyNumberFormat="1" applyFont="1" applyFill="1" applyBorder="1">
      <alignment/>
      <protection/>
    </xf>
    <xf numFmtId="10" fontId="2" fillId="0" borderId="0" xfId="49" applyNumberFormat="1" applyBorder="1">
      <alignment/>
      <protection/>
    </xf>
    <xf numFmtId="1" fontId="3" fillId="33" borderId="46" xfId="49" applyNumberFormat="1" applyFont="1" applyFill="1" applyBorder="1">
      <alignment/>
      <protection/>
    </xf>
    <xf numFmtId="1" fontId="3" fillId="33" borderId="10" xfId="49" applyNumberFormat="1" applyFont="1" applyFill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.úprava rozpočtu" xfId="48"/>
    <cellStyle name="normální_závěrečný účet 2008" xfId="49"/>
    <cellStyle name="Poznámka" xfId="50"/>
    <cellStyle name="Percent" xfId="51"/>
    <cellStyle name="procent 2" xfId="52"/>
    <cellStyle name="procent 3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výdajů</a:t>
            </a:r>
          </a:p>
        </c:rich>
      </c:tx>
      <c:layout>
        <c:manualLayout>
          <c:xMode val="factor"/>
          <c:yMode val="factor"/>
          <c:x val="-0.00425"/>
          <c:y val="-0.00275"/>
        </c:manualLayout>
      </c:layout>
      <c:spPr>
        <a:gradFill rotWithShape="1">
          <a:gsLst>
            <a:gs pos="0">
              <a:srgbClr val="FFFFFF"/>
            </a:gs>
            <a:gs pos="100000">
              <a:srgbClr val="9B9B9B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41"/>
          <c:y val="0.27325"/>
          <c:w val="0.54875"/>
          <c:h val="0.5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graf!$B$20:$B$28</c:f>
              <c:strCache/>
            </c:strRef>
          </c:cat>
          <c:val>
            <c:numRef>
              <c:f>graf!$C$20:$C$28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příjmů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D4D4D4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6"/>
          <c:y val="0.32325"/>
          <c:w val="0.53925"/>
          <c:h val="0.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graf!$B$2:$B$10</c:f>
              <c:strCache/>
            </c:strRef>
          </c:cat>
          <c:val>
            <c:numRef>
              <c:f>graf!$C$2:$C$10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Příjmy (tis.Kč)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3C3C3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0"/>
      <c:rotY val="16"/>
      <c:depthPercent val="100"/>
      <c:rAngAx val="1"/>
    </c:view3D>
    <c:plotArea>
      <c:layout>
        <c:manualLayout>
          <c:xMode val="edge"/>
          <c:yMode val="edge"/>
          <c:x val="0"/>
          <c:y val="0.0615"/>
          <c:w val="0.97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</c:f>
              <c:strCache>
                <c:ptCount val="1"/>
                <c:pt idx="0">
                  <c:v>Dotace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</c:f>
              <c:numCache/>
            </c:numRef>
          </c:val>
          <c:shape val="box"/>
        </c:ser>
        <c:ser>
          <c:idx val="1"/>
          <c:order val="1"/>
          <c:tx>
            <c:strRef>
              <c:f>graf!$B$3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graf!$C$3</c:f>
              <c:numCache/>
            </c:numRef>
          </c:val>
          <c:shape val="box"/>
        </c:ser>
        <c:ser>
          <c:idx val="2"/>
          <c:order val="2"/>
          <c:tx>
            <c:strRef>
              <c:f>graf!$B$4</c:f>
              <c:strCache>
                <c:ptCount val="1"/>
                <c:pt idx="0">
                  <c:v>Poplatky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graf!$C$4</c:f>
              <c:numCache/>
            </c:numRef>
          </c:val>
          <c:shape val="box"/>
        </c:ser>
        <c:ser>
          <c:idx val="3"/>
          <c:order val="3"/>
          <c:tx>
            <c:strRef>
              <c:f>graf!$B$5</c:f>
              <c:strCache>
                <c:ptCount val="1"/>
                <c:pt idx="0">
                  <c:v>Prodeje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graf!$C$5</c:f>
              <c:numCache/>
            </c:numRef>
          </c:val>
          <c:shape val="box"/>
        </c:ser>
        <c:ser>
          <c:idx val="4"/>
          <c:order val="4"/>
          <c:tx>
            <c:strRef>
              <c:f>graf!$B$6</c:f>
              <c:strCache>
                <c:ptCount val="1"/>
                <c:pt idx="0">
                  <c:v>Nájmy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graf!$C$6</c:f>
              <c:numCache/>
            </c:numRef>
          </c:val>
          <c:shape val="box"/>
        </c:ser>
        <c:ser>
          <c:idx val="5"/>
          <c:order val="5"/>
          <c:tx>
            <c:strRef>
              <c:f>graf!$B$7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graf!$C$7</c:f>
              <c:numCache/>
            </c:numRef>
          </c:val>
          <c:shape val="box"/>
        </c:ser>
        <c:ser>
          <c:idx val="6"/>
          <c:order val="6"/>
          <c:tx>
            <c:strRef>
              <c:f>graf!$B$8</c:f>
              <c:strCache>
                <c:ptCount val="1"/>
                <c:pt idx="0">
                  <c:v>BH převod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graf!$C$8</c:f>
              <c:numCache/>
            </c:numRef>
          </c:val>
          <c:shape val="box"/>
        </c:ser>
        <c:ser>
          <c:idx val="7"/>
          <c:order val="7"/>
          <c:tx>
            <c:strRef>
              <c:f>graf!$B$9</c:f>
              <c:strCache>
                <c:ptCount val="1"/>
                <c:pt idx="0">
                  <c:v>Zvl. příjmy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graf!$C$9</c:f>
              <c:numCache/>
            </c:numRef>
          </c:val>
          <c:shape val="box"/>
        </c:ser>
        <c:ser>
          <c:idx val="8"/>
          <c:order val="8"/>
          <c:tx>
            <c:strRef>
              <c:f>graf!$B$10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graf!$C$10</c:f>
              <c:numCache/>
            </c:numRef>
          </c:val>
          <c:shape val="box"/>
        </c:ser>
        <c:shape val="box"/>
        <c:axId val="36641579"/>
        <c:axId val="61338756"/>
      </c:bar3D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kapitoly rozpočtu (tis.Kč)</a:t>
                </a:r>
              </a:p>
            </c:rich>
          </c:tx>
          <c:layout>
            <c:manualLayout>
              <c:xMode val="factor"/>
              <c:yMode val="factor"/>
              <c:x val="0.0215"/>
              <c:y val="0.068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"/>
          <c:y val="0"/>
          <c:w val="0.23625"/>
          <c:h val="0.6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Výdaje (tis.Kč)</a:t>
            </a:r>
          </a:p>
        </c:rich>
      </c:tx>
      <c:layout>
        <c:manualLayout>
          <c:xMode val="factor"/>
          <c:yMode val="factor"/>
          <c:x val="0.00775"/>
          <c:y val="0.00575"/>
        </c:manualLayout>
      </c:layout>
      <c:spPr>
        <a:gradFill rotWithShape="1">
          <a:gsLst>
            <a:gs pos="0">
              <a:srgbClr val="FFFFFF"/>
            </a:gs>
            <a:gs pos="100000">
              <a:srgbClr val="C9C9C9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9775"/>
          <c:w val="0.962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graf!$B$20</c:f>
              <c:strCache>
                <c:ptCount val="1"/>
                <c:pt idx="0">
                  <c:v>Školství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graf!$C$20</c:f>
              <c:numCache/>
            </c:numRef>
          </c:val>
          <c:shape val="box"/>
        </c:ser>
        <c:ser>
          <c:idx val="1"/>
          <c:order val="1"/>
          <c:tx>
            <c:strRef>
              <c:f>graf!$B$21</c:f>
              <c:strCache>
                <c:ptCount val="1"/>
                <c:pt idx="0">
                  <c:v>Správa MěÚ po kons.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graf!$C$21</c:f>
              <c:numCache/>
            </c:numRef>
          </c:val>
          <c:shape val="box"/>
        </c:ser>
        <c:ser>
          <c:idx val="2"/>
          <c:order val="2"/>
          <c:tx>
            <c:strRef>
              <c:f>graf!$B$22</c:f>
              <c:strCache>
                <c:ptCount val="1"/>
                <c:pt idx="0">
                  <c:v>Kultura a 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graf!$C$22</c:f>
              <c:numCache/>
            </c:numRef>
          </c:val>
          <c:shape val="box"/>
        </c:ser>
        <c:ser>
          <c:idx val="3"/>
          <c:order val="3"/>
          <c:tx>
            <c:strRef>
              <c:f>graf!$B$23</c:f>
              <c:strCache>
                <c:ptCount val="1"/>
                <c:pt idx="0">
                  <c:v>Rozvoj města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graf!$C$23</c:f>
              <c:numCache/>
            </c:numRef>
          </c:val>
          <c:shape val="box"/>
        </c:ser>
        <c:ser>
          <c:idx val="4"/>
          <c:order val="4"/>
          <c:tx>
            <c:strRef>
              <c:f>graf!$B$24</c:f>
              <c:strCache>
                <c:ptCount val="1"/>
                <c:pt idx="0">
                  <c:v>Údržba města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graf!$C$24</c:f>
              <c:numCache/>
            </c:numRef>
          </c:val>
          <c:shape val="box"/>
        </c:ser>
        <c:ser>
          <c:idx val="5"/>
          <c:order val="5"/>
          <c:tx>
            <c:strRef>
              <c:f>graf!$B$25</c:f>
              <c:strCache>
                <c:ptCount val="1"/>
                <c:pt idx="0">
                  <c:v>Různé výdaje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graf!$C$25</c:f>
              <c:numCache/>
            </c:numRef>
          </c:val>
          <c:shape val="box"/>
        </c:ser>
        <c:ser>
          <c:idx val="6"/>
          <c:order val="6"/>
          <c:tx>
            <c:strRef>
              <c:f>graf!$B$26</c:f>
              <c:strCache>
                <c:ptCount val="1"/>
                <c:pt idx="0">
                  <c:v>Soc.věci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graf!$C$26</c:f>
              <c:numCache/>
            </c:numRef>
          </c:val>
          <c:shape val="box"/>
        </c:ser>
        <c:ser>
          <c:idx val="7"/>
          <c:order val="7"/>
          <c:tx>
            <c:strRef>
              <c:f>graf!$B$27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graf!$C$27</c:f>
              <c:numCache/>
            </c:numRef>
          </c:val>
          <c:shape val="box"/>
        </c:ser>
        <c:ser>
          <c:idx val="8"/>
          <c:order val="8"/>
          <c:tx>
            <c:strRef>
              <c:f>graf!$B$28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graf!$C$28</c:f>
              <c:numCache/>
            </c:numRef>
          </c:val>
          <c:shape val="box"/>
        </c:ser>
        <c:shape val="box"/>
        <c:axId val="15177893"/>
        <c:axId val="2383310"/>
      </c:bar3DChart>
      <c:catAx>
        <c:axId val="15177893"/>
        <c:scaling>
          <c:orientation val="minMax"/>
        </c:scaling>
        <c:axPos val="b"/>
        <c:delete val="1"/>
        <c:majorTickMark val="out"/>
        <c:minorTickMark val="none"/>
        <c:tickLblPos val="none"/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"/>
          <c:w val="0.2525"/>
          <c:h val="0.6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17</xdr:row>
      <xdr:rowOff>57150</xdr:rowOff>
    </xdr:from>
    <xdr:to>
      <xdr:col>11</xdr:col>
      <xdr:colOff>19050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047875" y="3295650"/>
        <a:ext cx="4562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11</xdr:col>
      <xdr:colOff>19050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2038350" y="0"/>
        <a:ext cx="45720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20</xdr:col>
      <xdr:colOff>66675</xdr:colOff>
      <xdr:row>17</xdr:row>
      <xdr:rowOff>57150</xdr:rowOff>
    </xdr:to>
    <xdr:graphicFrame>
      <xdr:nvGraphicFramePr>
        <xdr:cNvPr id="3" name="Chart 3"/>
        <xdr:cNvGraphicFramePr/>
      </xdr:nvGraphicFramePr>
      <xdr:xfrm>
        <a:off x="6610350" y="0"/>
        <a:ext cx="49625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17</xdr:row>
      <xdr:rowOff>57150</xdr:rowOff>
    </xdr:from>
    <xdr:to>
      <xdr:col>20</xdr:col>
      <xdr:colOff>57150</xdr:colOff>
      <xdr:row>35</xdr:row>
      <xdr:rowOff>57150</xdr:rowOff>
    </xdr:to>
    <xdr:graphicFrame>
      <xdr:nvGraphicFramePr>
        <xdr:cNvPr id="4" name="Chart 4"/>
        <xdr:cNvGraphicFramePr/>
      </xdr:nvGraphicFramePr>
      <xdr:xfrm>
        <a:off x="6610350" y="3295650"/>
        <a:ext cx="49530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dekM.MUBLOVICE\Dokumenty\ROZPOCET\2013\z&#225;v&#283;re&#269;n&#253;%20&#250;&#269;e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"/>
      <sheetName val="PO"/>
      <sheetName val="vypořádání"/>
      <sheetName val="Příjmy_Výdaje"/>
      <sheetName val="graf"/>
      <sheetName val="Rozvaha, ZaZ, dluh.služ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7"/>
  <sheetViews>
    <sheetView zoomScalePageLayoutView="0" workbookViewId="0" topLeftCell="A103">
      <selection activeCell="M65" sqref="M65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3.00390625" style="0" customWidth="1"/>
    <col min="4" max="4" width="32.421875" style="0" customWidth="1"/>
    <col min="5" max="5" width="0.42578125" style="128" hidden="1" customWidth="1"/>
    <col min="6" max="7" width="0.71875" style="128" hidden="1" customWidth="1"/>
    <col min="8" max="8" width="0.13671875" style="128" hidden="1" customWidth="1"/>
    <col min="9" max="10" width="9.7109375" style="128" hidden="1" customWidth="1"/>
    <col min="11" max="11" width="10.8515625" style="128" customWidth="1"/>
    <col min="12" max="12" width="11.00390625" style="128" customWidth="1"/>
    <col min="13" max="14" width="11.140625" style="116" customWidth="1"/>
    <col min="15" max="15" width="7.7109375" style="116" customWidth="1"/>
    <col min="16" max="16" width="9.140625" style="116" customWidth="1"/>
    <col min="17" max="17" width="11.57421875" style="0" customWidth="1"/>
    <col min="22" max="22" width="10.57421875" style="0" bestFit="1" customWidth="1"/>
  </cols>
  <sheetData>
    <row r="1" spans="1:16" ht="18.75" thickBot="1">
      <c r="A1" s="1" t="s">
        <v>0</v>
      </c>
      <c r="B1" s="2"/>
      <c r="C1" s="2"/>
      <c r="D1" s="2"/>
      <c r="E1" s="232" t="s">
        <v>1</v>
      </c>
      <c r="F1" s="233"/>
      <c r="G1" s="232" t="s">
        <v>2</v>
      </c>
      <c r="H1" s="233"/>
      <c r="I1" s="232" t="s">
        <v>3</v>
      </c>
      <c r="J1" s="233"/>
      <c r="K1" s="230" t="s">
        <v>161</v>
      </c>
      <c r="L1" s="231"/>
      <c r="M1" s="230" t="s">
        <v>160</v>
      </c>
      <c r="N1" s="231"/>
      <c r="O1" s="3"/>
      <c r="P1" s="3"/>
    </row>
    <row r="2" spans="1:16" ht="13.5" thickBot="1">
      <c r="A2" s="4" t="s">
        <v>4</v>
      </c>
      <c r="B2" s="5" t="s">
        <v>5</v>
      </c>
      <c r="C2" s="5" t="s">
        <v>6</v>
      </c>
      <c r="D2" s="6" t="s">
        <v>7</v>
      </c>
      <c r="E2" s="7"/>
      <c r="F2" s="8" t="s">
        <v>8</v>
      </c>
      <c r="G2" s="7"/>
      <c r="H2" s="8" t="s">
        <v>8</v>
      </c>
      <c r="I2" s="7"/>
      <c r="J2" s="8" t="s">
        <v>8</v>
      </c>
      <c r="K2" s="7"/>
      <c r="L2" s="8" t="s">
        <v>8</v>
      </c>
      <c r="M2" s="213"/>
      <c r="N2" s="9" t="s">
        <v>8</v>
      </c>
      <c r="O2" s="10"/>
      <c r="P2" s="10"/>
    </row>
    <row r="3" spans="1:16" ht="12.75">
      <c r="A3" s="11" t="s">
        <v>9</v>
      </c>
      <c r="B3" s="12" t="s">
        <v>10</v>
      </c>
      <c r="C3" s="12">
        <v>1</v>
      </c>
      <c r="D3" s="13" t="s">
        <v>11</v>
      </c>
      <c r="E3" s="14">
        <f>10483.3+814</f>
        <v>11297.3</v>
      </c>
      <c r="F3" s="15"/>
      <c r="G3" s="14">
        <f>10483.3+814</f>
        <v>11297.3</v>
      </c>
      <c r="H3" s="15"/>
      <c r="I3" s="14">
        <f>10483.3+814</f>
        <v>11297.3</v>
      </c>
      <c r="J3" s="15"/>
      <c r="K3" s="156">
        <f>10501.4+803.9+576+159.5</f>
        <v>12040.8</v>
      </c>
      <c r="L3" s="159"/>
      <c r="M3" s="207">
        <f>5258.2+159.5+576+401.9</f>
        <v>6395.599999999999</v>
      </c>
      <c r="N3" s="159"/>
      <c r="O3" s="211">
        <f>+M3/K3</f>
        <v>0.5311607202179257</v>
      </c>
      <c r="P3" s="16"/>
    </row>
    <row r="4" spans="1:16" ht="12.75">
      <c r="A4" s="21"/>
      <c r="B4" s="22"/>
      <c r="C4" s="18">
        <v>2</v>
      </c>
      <c r="D4" s="24" t="s">
        <v>12</v>
      </c>
      <c r="E4" s="20">
        <v>0</v>
      </c>
      <c r="F4" s="23"/>
      <c r="G4" s="20">
        <v>323</v>
      </c>
      <c r="H4" s="23"/>
      <c r="I4" s="20">
        <v>323</v>
      </c>
      <c r="J4" s="23"/>
      <c r="K4" s="157">
        <v>301.7</v>
      </c>
      <c r="L4" s="160"/>
      <c r="M4" s="186">
        <v>301.7</v>
      </c>
      <c r="N4" s="160"/>
      <c r="O4" s="211">
        <f aca="true" t="shared" si="0" ref="O4:O66">+M4/K4</f>
        <v>1</v>
      </c>
      <c r="P4" s="16"/>
    </row>
    <row r="5" spans="1:16" ht="12.75">
      <c r="A5" s="21"/>
      <c r="B5" s="22"/>
      <c r="C5" s="18">
        <f aca="true" t="shared" si="1" ref="C5:C15">+C4+1</f>
        <v>3</v>
      </c>
      <c r="D5" s="25" t="s">
        <v>13</v>
      </c>
      <c r="E5" s="20">
        <v>0</v>
      </c>
      <c r="F5" s="23"/>
      <c r="G5" s="20">
        <v>100</v>
      </c>
      <c r="H5" s="23"/>
      <c r="I5" s="20">
        <v>150</v>
      </c>
      <c r="J5" s="23"/>
      <c r="K5" s="157">
        <f>205+85+23</f>
        <v>313</v>
      </c>
      <c r="L5" s="160"/>
      <c r="M5" s="186">
        <v>294.8</v>
      </c>
      <c r="N5" s="160"/>
      <c r="O5" s="211">
        <f t="shared" si="0"/>
        <v>0.9418530351437701</v>
      </c>
      <c r="P5" s="16"/>
    </row>
    <row r="6" spans="1:16" ht="12.75">
      <c r="A6" s="21"/>
      <c r="B6" s="22"/>
      <c r="C6" s="18">
        <f t="shared" si="1"/>
        <v>4</v>
      </c>
      <c r="D6" s="25" t="s">
        <v>14</v>
      </c>
      <c r="E6" s="20">
        <v>0</v>
      </c>
      <c r="F6" s="23"/>
      <c r="G6" s="20">
        <v>0</v>
      </c>
      <c r="H6" s="23"/>
      <c r="I6" s="20">
        <v>100</v>
      </c>
      <c r="J6" s="23"/>
      <c r="K6" s="157">
        <v>80</v>
      </c>
      <c r="L6" s="160"/>
      <c r="M6" s="186">
        <v>143.9</v>
      </c>
      <c r="N6" s="160"/>
      <c r="O6" s="211">
        <f t="shared" si="0"/>
        <v>1.79875</v>
      </c>
      <c r="P6" s="16"/>
    </row>
    <row r="7" spans="1:16" ht="12.75">
      <c r="A7" s="21"/>
      <c r="B7" s="22"/>
      <c r="C7" s="18">
        <f t="shared" si="1"/>
        <v>5</v>
      </c>
      <c r="D7" s="26" t="s">
        <v>15</v>
      </c>
      <c r="E7" s="20">
        <v>0</v>
      </c>
      <c r="F7" s="23"/>
      <c r="G7" s="20">
        <v>0</v>
      </c>
      <c r="H7" s="23"/>
      <c r="I7" s="20">
        <v>925</v>
      </c>
      <c r="J7" s="23"/>
      <c r="K7" s="157">
        <f>300+528</f>
        <v>828</v>
      </c>
      <c r="L7" s="160"/>
      <c r="M7" s="186">
        <v>828.2</v>
      </c>
      <c r="N7" s="160"/>
      <c r="O7" s="211">
        <f t="shared" si="0"/>
        <v>1.00024154589372</v>
      </c>
      <c r="P7" s="16"/>
    </row>
    <row r="8" spans="1:16" ht="12.75">
      <c r="A8" s="21"/>
      <c r="B8" s="22"/>
      <c r="C8" s="18">
        <f t="shared" si="1"/>
        <v>6</v>
      </c>
      <c r="D8" s="26" t="s">
        <v>16</v>
      </c>
      <c r="E8" s="20"/>
      <c r="F8" s="23"/>
      <c r="G8" s="20"/>
      <c r="H8" s="23"/>
      <c r="I8" s="20"/>
      <c r="J8" s="23"/>
      <c r="K8" s="157">
        <v>200</v>
      </c>
      <c r="L8" s="160"/>
      <c r="M8" s="186">
        <v>0</v>
      </c>
      <c r="N8" s="160"/>
      <c r="O8" s="211">
        <f t="shared" si="0"/>
        <v>0</v>
      </c>
      <c r="P8" s="16"/>
    </row>
    <row r="9" spans="1:16" ht="12.75">
      <c r="A9" s="21"/>
      <c r="B9" s="22"/>
      <c r="C9" s="18">
        <f t="shared" si="1"/>
        <v>7</v>
      </c>
      <c r="D9" s="26" t="s">
        <v>121</v>
      </c>
      <c r="E9" s="20"/>
      <c r="F9" s="23"/>
      <c r="G9" s="20"/>
      <c r="H9" s="23"/>
      <c r="I9" s="20"/>
      <c r="J9" s="23"/>
      <c r="K9" s="157">
        <v>284.5</v>
      </c>
      <c r="L9" s="160"/>
      <c r="M9" s="186">
        <v>0</v>
      </c>
      <c r="N9" s="160"/>
      <c r="O9" s="211">
        <f t="shared" si="0"/>
        <v>0</v>
      </c>
      <c r="P9" s="16"/>
    </row>
    <row r="10" spans="1:16" ht="12.75">
      <c r="A10" s="21"/>
      <c r="B10" s="22"/>
      <c r="C10" s="18">
        <f t="shared" si="1"/>
        <v>8</v>
      </c>
      <c r="D10" s="26" t="s">
        <v>149</v>
      </c>
      <c r="E10" s="20"/>
      <c r="F10" s="23"/>
      <c r="G10" s="20"/>
      <c r="H10" s="23"/>
      <c r="I10" s="20"/>
      <c r="J10" s="23"/>
      <c r="K10" s="157">
        <v>1383</v>
      </c>
      <c r="L10" s="160"/>
      <c r="M10" s="186">
        <v>0</v>
      </c>
      <c r="N10" s="160"/>
      <c r="O10" s="211">
        <f t="shared" si="0"/>
        <v>0</v>
      </c>
      <c r="P10" s="16"/>
    </row>
    <row r="11" spans="1:16" ht="12.75">
      <c r="A11" s="21"/>
      <c r="B11" s="22"/>
      <c r="C11" s="18">
        <f t="shared" si="1"/>
        <v>9</v>
      </c>
      <c r="D11" s="25" t="s">
        <v>133</v>
      </c>
      <c r="E11" s="20"/>
      <c r="F11" s="23"/>
      <c r="G11" s="20"/>
      <c r="H11" s="23"/>
      <c r="I11" s="20"/>
      <c r="J11" s="23"/>
      <c r="K11" s="157">
        <v>6067</v>
      </c>
      <c r="L11" s="160"/>
      <c r="M11" s="186">
        <v>0</v>
      </c>
      <c r="N11" s="160"/>
      <c r="O11" s="211">
        <f t="shared" si="0"/>
        <v>0</v>
      </c>
      <c r="P11" s="16"/>
    </row>
    <row r="12" spans="1:16" ht="12.75">
      <c r="A12" s="21"/>
      <c r="B12" s="22"/>
      <c r="C12" s="18">
        <f t="shared" si="1"/>
        <v>10</v>
      </c>
      <c r="D12" s="26" t="s">
        <v>129</v>
      </c>
      <c r="E12" s="20"/>
      <c r="F12" s="23"/>
      <c r="G12" s="20"/>
      <c r="H12" s="23"/>
      <c r="I12" s="20"/>
      <c r="J12" s="23"/>
      <c r="K12" s="157">
        <v>390.2</v>
      </c>
      <c r="L12" s="160"/>
      <c r="M12" s="186">
        <f>21.7+368.5</f>
        <v>390.2</v>
      </c>
      <c r="N12" s="160"/>
      <c r="O12" s="211">
        <f t="shared" si="0"/>
        <v>1</v>
      </c>
      <c r="P12" s="16"/>
    </row>
    <row r="13" spans="1:17" ht="12.75">
      <c r="A13" s="21"/>
      <c r="B13" s="22"/>
      <c r="C13" s="18">
        <f t="shared" si="1"/>
        <v>11</v>
      </c>
      <c r="D13" s="26" t="s">
        <v>148</v>
      </c>
      <c r="E13" s="20"/>
      <c r="F13" s="23"/>
      <c r="G13" s="20"/>
      <c r="H13" s="23"/>
      <c r="I13" s="20"/>
      <c r="J13" s="23"/>
      <c r="K13" s="157">
        <v>11100</v>
      </c>
      <c r="L13" s="160"/>
      <c r="M13" s="186">
        <v>0</v>
      </c>
      <c r="N13" s="160"/>
      <c r="O13" s="211">
        <f t="shared" si="0"/>
        <v>0</v>
      </c>
      <c r="P13" s="188">
        <f>SUM(M9:M13)+178.5</f>
        <v>568.7</v>
      </c>
      <c r="Q13" s="27" t="s">
        <v>17</v>
      </c>
    </row>
    <row r="14" spans="1:17" ht="12.75">
      <c r="A14" s="21"/>
      <c r="B14" s="22"/>
      <c r="C14" s="18">
        <f t="shared" si="1"/>
        <v>12</v>
      </c>
      <c r="D14" s="26" t="s">
        <v>154</v>
      </c>
      <c r="E14" s="20"/>
      <c r="F14" s="23"/>
      <c r="G14" s="20"/>
      <c r="H14" s="23"/>
      <c r="I14" s="20"/>
      <c r="J14" s="23"/>
      <c r="K14" s="157">
        <f>23.8+332.7</f>
        <v>356.5</v>
      </c>
      <c r="L14" s="160"/>
      <c r="M14" s="186">
        <f>23.8+332.7</f>
        <v>356.5</v>
      </c>
      <c r="N14" s="160"/>
      <c r="O14" s="211">
        <f t="shared" si="0"/>
        <v>1</v>
      </c>
      <c r="P14" s="188"/>
      <c r="Q14" s="27"/>
    </row>
    <row r="15" spans="1:16" ht="12.75">
      <c r="A15" s="21"/>
      <c r="B15" s="22"/>
      <c r="C15" s="18">
        <f t="shared" si="1"/>
        <v>13</v>
      </c>
      <c r="D15" s="26" t="s">
        <v>124</v>
      </c>
      <c r="E15" s="28">
        <v>0</v>
      </c>
      <c r="F15" s="23"/>
      <c r="G15" s="28">
        <f>69+31</f>
        <v>100</v>
      </c>
      <c r="H15" s="23"/>
      <c r="I15" s="28">
        <v>9</v>
      </c>
      <c r="J15" s="23"/>
      <c r="K15" s="157">
        <f>178.4+58.9</f>
        <v>237.3</v>
      </c>
      <c r="L15" s="160"/>
      <c r="M15" s="186">
        <f>178.5+111.4</f>
        <v>289.9</v>
      </c>
      <c r="N15" s="160"/>
      <c r="O15" s="211">
        <f t="shared" si="0"/>
        <v>1.2216603455541508</v>
      </c>
      <c r="P15" s="16"/>
    </row>
    <row r="16" spans="1:17" ht="13.5" thickBot="1">
      <c r="A16" s="29"/>
      <c r="B16" s="30"/>
      <c r="C16" s="30"/>
      <c r="D16" s="31" t="s">
        <v>8</v>
      </c>
      <c r="E16" s="32"/>
      <c r="F16" s="33">
        <f>SUM(E3:E15)</f>
        <v>11297.3</v>
      </c>
      <c r="G16" s="32"/>
      <c r="H16" s="33">
        <f>SUM(G3:G15)</f>
        <v>11820.3</v>
      </c>
      <c r="I16" s="32"/>
      <c r="J16" s="33">
        <f>SUM(I3:I15)</f>
        <v>12804.3</v>
      </c>
      <c r="K16" s="161"/>
      <c r="L16" s="189">
        <f>SUM(K3:K15)</f>
        <v>33582</v>
      </c>
      <c r="M16" s="214"/>
      <c r="N16" s="158">
        <f>SUM(M3:M15)</f>
        <v>9000.8</v>
      </c>
      <c r="O16" s="212">
        <f>+N16/L16</f>
        <v>0.26802453695432077</v>
      </c>
      <c r="P16" s="34"/>
      <c r="Q16" s="188"/>
    </row>
    <row r="17" spans="1:16" ht="12.75">
      <c r="A17" s="35" t="s">
        <v>18</v>
      </c>
      <c r="B17" s="36" t="s">
        <v>19</v>
      </c>
      <c r="C17" s="36">
        <v>1</v>
      </c>
      <c r="D17" s="24" t="s">
        <v>20</v>
      </c>
      <c r="E17" s="37">
        <v>3000</v>
      </c>
      <c r="F17" s="38"/>
      <c r="G17" s="37">
        <v>3000</v>
      </c>
      <c r="H17" s="38"/>
      <c r="I17" s="37">
        <v>3000</v>
      </c>
      <c r="J17" s="38"/>
      <c r="K17" s="162">
        <v>2770</v>
      </c>
      <c r="L17" s="163"/>
      <c r="M17" s="215">
        <v>1616</v>
      </c>
      <c r="N17" s="163"/>
      <c r="O17" s="211">
        <f t="shared" si="0"/>
        <v>0.5833935018050541</v>
      </c>
      <c r="P17" s="16"/>
    </row>
    <row r="18" spans="1:16" ht="12.75">
      <c r="A18" s="17"/>
      <c r="B18" s="18"/>
      <c r="C18" s="18">
        <v>2</v>
      </c>
      <c r="D18" s="19" t="s">
        <v>21</v>
      </c>
      <c r="E18" s="20">
        <f>6600+440+13700+550+5860</f>
        <v>27150</v>
      </c>
      <c r="F18" s="23"/>
      <c r="G18" s="20">
        <f>6600+440+13700+550+5860</f>
        <v>27150</v>
      </c>
      <c r="H18" s="23"/>
      <c r="I18" s="20">
        <f>6600+440+13700+550+5860</f>
        <v>27150</v>
      </c>
      <c r="J18" s="23"/>
      <c r="K18" s="157">
        <v>37650</v>
      </c>
      <c r="L18" s="160"/>
      <c r="M18" s="186">
        <f>8837+845+4527+503+4010</f>
        <v>18722</v>
      </c>
      <c r="N18" s="160"/>
      <c r="O18" s="211">
        <f t="shared" si="0"/>
        <v>0.4972642762284197</v>
      </c>
      <c r="P18" s="16"/>
    </row>
    <row r="19" spans="1:16" ht="12.75">
      <c r="A19" s="17"/>
      <c r="B19" s="18"/>
      <c r="C19" s="18">
        <v>3</v>
      </c>
      <c r="D19" s="19" t="s">
        <v>22</v>
      </c>
      <c r="E19" s="28">
        <v>1000</v>
      </c>
      <c r="F19" s="23"/>
      <c r="G19" s="28">
        <v>570</v>
      </c>
      <c r="H19" s="23"/>
      <c r="I19" s="28">
        <v>570</v>
      </c>
      <c r="J19" s="23"/>
      <c r="K19" s="157">
        <v>1700</v>
      </c>
      <c r="L19" s="160"/>
      <c r="M19" s="186">
        <v>1700</v>
      </c>
      <c r="N19" s="160"/>
      <c r="O19" s="211">
        <f t="shared" si="0"/>
        <v>1</v>
      </c>
      <c r="P19" s="16"/>
    </row>
    <row r="20" spans="1:16" ht="13.5" thickBot="1">
      <c r="A20" s="29"/>
      <c r="B20" s="30"/>
      <c r="C20" s="30"/>
      <c r="D20" s="31" t="s">
        <v>23</v>
      </c>
      <c r="E20" s="32"/>
      <c r="F20" s="33">
        <f>SUM(E17:E19)</f>
        <v>31150</v>
      </c>
      <c r="G20" s="32"/>
      <c r="H20" s="33">
        <f>SUM(G17:G19)</f>
        <v>30720</v>
      </c>
      <c r="I20" s="32"/>
      <c r="J20" s="33">
        <f>SUM(I17:I19)</f>
        <v>30720</v>
      </c>
      <c r="K20" s="161"/>
      <c r="L20" s="189">
        <f>SUM(K17:K19)</f>
        <v>42120</v>
      </c>
      <c r="M20" s="214"/>
      <c r="N20" s="158">
        <f>SUM(M17:M19)</f>
        <v>22038</v>
      </c>
      <c r="O20" s="212">
        <f>+N20/L20</f>
        <v>0.5232193732193732</v>
      </c>
      <c r="P20" s="34"/>
    </row>
    <row r="21" spans="1:16" ht="12.75">
      <c r="A21" s="17" t="s">
        <v>24</v>
      </c>
      <c r="B21" s="36" t="s">
        <v>25</v>
      </c>
      <c r="C21" s="18">
        <v>1</v>
      </c>
      <c r="D21" s="19" t="s">
        <v>26</v>
      </c>
      <c r="E21" s="28">
        <v>1250</v>
      </c>
      <c r="F21" s="23"/>
      <c r="G21" s="28">
        <v>1250</v>
      </c>
      <c r="H21" s="23"/>
      <c r="I21" s="28">
        <v>1250</v>
      </c>
      <c r="J21" s="23"/>
      <c r="K21" s="157">
        <v>1170</v>
      </c>
      <c r="L21" s="160"/>
      <c r="M21" s="186">
        <f>634+16+13</f>
        <v>663</v>
      </c>
      <c r="N21" s="160"/>
      <c r="O21" s="211">
        <f t="shared" si="0"/>
        <v>0.5666666666666667</v>
      </c>
      <c r="P21" s="16"/>
    </row>
    <row r="22" spans="1:16" ht="12.75">
      <c r="A22" s="17"/>
      <c r="B22" s="18"/>
      <c r="C22" s="18">
        <f aca="true" t="shared" si="2" ref="C22:C31">+C21+1</f>
        <v>2</v>
      </c>
      <c r="D22" s="19" t="s">
        <v>27</v>
      </c>
      <c r="E22" s="28">
        <v>350</v>
      </c>
      <c r="F22" s="23"/>
      <c r="G22" s="28">
        <v>350</v>
      </c>
      <c r="H22" s="23"/>
      <c r="I22" s="28">
        <v>350</v>
      </c>
      <c r="J22" s="23"/>
      <c r="K22" s="157">
        <v>260</v>
      </c>
      <c r="L22" s="160"/>
      <c r="M22" s="186">
        <f>20+3+182+13</f>
        <v>218</v>
      </c>
      <c r="N22" s="160"/>
      <c r="O22" s="211">
        <f t="shared" si="0"/>
        <v>0.8384615384615385</v>
      </c>
      <c r="P22" s="16"/>
    </row>
    <row r="23" spans="1:16" ht="12.75">
      <c r="A23" s="17"/>
      <c r="B23" s="18"/>
      <c r="C23" s="18">
        <f t="shared" si="2"/>
        <v>3</v>
      </c>
      <c r="D23" s="19" t="s">
        <v>28</v>
      </c>
      <c r="E23" s="28">
        <v>130</v>
      </c>
      <c r="F23" s="23"/>
      <c r="G23" s="28">
        <v>130</v>
      </c>
      <c r="H23" s="23"/>
      <c r="I23" s="28">
        <v>130</v>
      </c>
      <c r="J23" s="23"/>
      <c r="K23" s="157">
        <v>120</v>
      </c>
      <c r="L23" s="160"/>
      <c r="M23" s="186">
        <v>72</v>
      </c>
      <c r="N23" s="160"/>
      <c r="O23" s="211">
        <f t="shared" si="0"/>
        <v>0.6</v>
      </c>
      <c r="P23" s="16"/>
    </row>
    <row r="24" spans="1:16" ht="12.75">
      <c r="A24" s="17"/>
      <c r="B24" s="18"/>
      <c r="C24" s="18">
        <f t="shared" si="2"/>
        <v>4</v>
      </c>
      <c r="D24" s="19" t="s">
        <v>29</v>
      </c>
      <c r="E24" s="28">
        <v>240</v>
      </c>
      <c r="F24" s="23"/>
      <c r="G24" s="28">
        <v>240</v>
      </c>
      <c r="H24" s="23"/>
      <c r="I24" s="28">
        <v>240</v>
      </c>
      <c r="J24" s="23"/>
      <c r="K24" s="157">
        <v>450</v>
      </c>
      <c r="L24" s="160"/>
      <c r="M24" s="186">
        <f>213+189</f>
        <v>402</v>
      </c>
      <c r="N24" s="160"/>
      <c r="O24" s="211">
        <f t="shared" si="0"/>
        <v>0.8933333333333333</v>
      </c>
      <c r="P24" s="16"/>
    </row>
    <row r="25" spans="1:16" ht="12.75">
      <c r="A25" s="17"/>
      <c r="B25" s="18"/>
      <c r="C25" s="18">
        <f t="shared" si="2"/>
        <v>5</v>
      </c>
      <c r="D25" s="19" t="s">
        <v>30</v>
      </c>
      <c r="E25" s="28">
        <v>220</v>
      </c>
      <c r="F25" s="23"/>
      <c r="G25" s="28">
        <v>220</v>
      </c>
      <c r="H25" s="23"/>
      <c r="I25" s="28">
        <v>220</v>
      </c>
      <c r="J25" s="23"/>
      <c r="K25" s="157">
        <v>110</v>
      </c>
      <c r="L25" s="160"/>
      <c r="M25" s="186">
        <f>22+16+4+13+1</f>
        <v>56</v>
      </c>
      <c r="N25" s="160"/>
      <c r="O25" s="211">
        <f t="shared" si="0"/>
        <v>0.509090909090909</v>
      </c>
      <c r="P25" s="16"/>
    </row>
    <row r="26" spans="1:16" ht="12.75">
      <c r="A26" s="17"/>
      <c r="B26" s="18" t="s">
        <v>31</v>
      </c>
      <c r="C26" s="18">
        <f t="shared" si="2"/>
        <v>6</v>
      </c>
      <c r="D26" s="19" t="s">
        <v>32</v>
      </c>
      <c r="E26" s="28">
        <v>1800</v>
      </c>
      <c r="F26" s="23"/>
      <c r="G26" s="28">
        <v>1800</v>
      </c>
      <c r="H26" s="23"/>
      <c r="I26" s="28">
        <v>1800</v>
      </c>
      <c r="J26" s="23"/>
      <c r="K26" s="157">
        <v>3000</v>
      </c>
      <c r="L26" s="160"/>
      <c r="M26" s="186">
        <f>71+989</f>
        <v>1060</v>
      </c>
      <c r="N26" s="160"/>
      <c r="O26" s="211">
        <f t="shared" si="0"/>
        <v>0.35333333333333333</v>
      </c>
      <c r="P26" s="16"/>
    </row>
    <row r="27" spans="1:16" ht="12.75">
      <c r="A27" s="17"/>
      <c r="B27" s="18" t="s">
        <v>33</v>
      </c>
      <c r="C27" s="18">
        <f t="shared" si="2"/>
        <v>7</v>
      </c>
      <c r="D27" s="19" t="s">
        <v>34</v>
      </c>
      <c r="E27" s="28">
        <v>112</v>
      </c>
      <c r="F27" s="23"/>
      <c r="G27" s="28">
        <v>112</v>
      </c>
      <c r="H27" s="23"/>
      <c r="I27" s="28">
        <v>112</v>
      </c>
      <c r="J27" s="23"/>
      <c r="K27" s="157">
        <v>112</v>
      </c>
      <c r="L27" s="160"/>
      <c r="M27" s="186">
        <v>104</v>
      </c>
      <c r="N27" s="160"/>
      <c r="O27" s="211">
        <f t="shared" si="0"/>
        <v>0.9285714285714286</v>
      </c>
      <c r="P27" s="16"/>
    </row>
    <row r="28" spans="1:16" ht="12.75">
      <c r="A28" s="17"/>
      <c r="B28" s="18"/>
      <c r="C28" s="18">
        <f t="shared" si="2"/>
        <v>8</v>
      </c>
      <c r="D28" s="19" t="s">
        <v>35</v>
      </c>
      <c r="E28" s="28">
        <v>198</v>
      </c>
      <c r="F28" s="23"/>
      <c r="G28" s="28">
        <v>198</v>
      </c>
      <c r="H28" s="23"/>
      <c r="I28" s="28">
        <v>198</v>
      </c>
      <c r="J28" s="23"/>
      <c r="K28" s="157">
        <v>198</v>
      </c>
      <c r="L28" s="160"/>
      <c r="M28" s="186">
        <v>60</v>
      </c>
      <c r="N28" s="160"/>
      <c r="O28" s="211">
        <f t="shared" si="0"/>
        <v>0.30303030303030304</v>
      </c>
      <c r="P28" s="16"/>
    </row>
    <row r="29" spans="1:16" ht="12.75">
      <c r="A29" s="17"/>
      <c r="B29" s="18"/>
      <c r="C29" s="18">
        <f t="shared" si="2"/>
        <v>9</v>
      </c>
      <c r="D29" s="19" t="s">
        <v>36</v>
      </c>
      <c r="E29" s="28">
        <v>60</v>
      </c>
      <c r="F29" s="23"/>
      <c r="G29" s="28">
        <v>60</v>
      </c>
      <c r="H29" s="23"/>
      <c r="I29" s="28">
        <v>60</v>
      </c>
      <c r="J29" s="23"/>
      <c r="K29" s="157">
        <v>60</v>
      </c>
      <c r="L29" s="160"/>
      <c r="M29" s="186">
        <f>30+5</f>
        <v>35</v>
      </c>
      <c r="N29" s="160"/>
      <c r="O29" s="211">
        <f t="shared" si="0"/>
        <v>0.5833333333333334</v>
      </c>
      <c r="P29" s="16"/>
    </row>
    <row r="30" spans="1:16" ht="12.75">
      <c r="A30" s="21"/>
      <c r="B30" s="22"/>
      <c r="C30" s="18">
        <f t="shared" si="2"/>
        <v>10</v>
      </c>
      <c r="D30" s="26" t="s">
        <v>37</v>
      </c>
      <c r="E30" s="39">
        <v>2135</v>
      </c>
      <c r="F30" s="40"/>
      <c r="G30" s="39">
        <v>2135</v>
      </c>
      <c r="H30" s="40"/>
      <c r="I30" s="39">
        <v>2135</v>
      </c>
      <c r="J30" s="40"/>
      <c r="K30" s="164">
        <v>3150</v>
      </c>
      <c r="L30" s="165"/>
      <c r="M30" s="216">
        <v>3057</v>
      </c>
      <c r="N30" s="165"/>
      <c r="O30" s="211">
        <f t="shared" si="0"/>
        <v>0.9704761904761905</v>
      </c>
      <c r="P30" s="16"/>
    </row>
    <row r="31" spans="1:16" ht="12.75">
      <c r="A31" s="21"/>
      <c r="B31" s="22" t="s">
        <v>38</v>
      </c>
      <c r="C31" s="18">
        <f t="shared" si="2"/>
        <v>11</v>
      </c>
      <c r="D31" s="26" t="s">
        <v>39</v>
      </c>
      <c r="E31" s="39">
        <v>170</v>
      </c>
      <c r="F31" s="40"/>
      <c r="G31" s="39">
        <v>170</v>
      </c>
      <c r="H31" s="40"/>
      <c r="I31" s="39">
        <v>170</v>
      </c>
      <c r="J31" s="40"/>
      <c r="K31" s="164">
        <v>100</v>
      </c>
      <c r="L31" s="165"/>
      <c r="M31" s="216">
        <f>43+12</f>
        <v>55</v>
      </c>
      <c r="N31" s="165"/>
      <c r="O31" s="211">
        <f t="shared" si="0"/>
        <v>0.55</v>
      </c>
      <c r="P31" s="16"/>
    </row>
    <row r="32" spans="1:16" ht="13.5" thickBot="1">
      <c r="A32" s="29"/>
      <c r="B32" s="30"/>
      <c r="C32" s="30"/>
      <c r="D32" s="31" t="s">
        <v>23</v>
      </c>
      <c r="E32" s="32"/>
      <c r="F32" s="41">
        <f>SUM(E21:E31)</f>
        <v>6665</v>
      </c>
      <c r="G32" s="32"/>
      <c r="H32" s="41">
        <f>SUM(G21:G31)</f>
        <v>6665</v>
      </c>
      <c r="I32" s="32"/>
      <c r="J32" s="41">
        <f>SUM(I21:I31)</f>
        <v>6665</v>
      </c>
      <c r="K32" s="161"/>
      <c r="L32" s="189">
        <f>SUM(K21:K31)</f>
        <v>8730</v>
      </c>
      <c r="M32" s="214"/>
      <c r="N32" s="158">
        <f>SUM(M21:M31)</f>
        <v>5782</v>
      </c>
      <c r="O32" s="212">
        <f>+N32/L32</f>
        <v>0.6623138602520046</v>
      </c>
      <c r="P32" s="16"/>
    </row>
    <row r="33" spans="1:16" ht="12.75">
      <c r="A33" s="11" t="s">
        <v>40</v>
      </c>
      <c r="B33" s="12" t="s">
        <v>41</v>
      </c>
      <c r="C33" s="12">
        <v>1</v>
      </c>
      <c r="D33" s="13" t="s">
        <v>42</v>
      </c>
      <c r="E33" s="42">
        <v>238</v>
      </c>
      <c r="F33" s="15"/>
      <c r="G33" s="42">
        <v>238</v>
      </c>
      <c r="H33" s="15"/>
      <c r="I33" s="42">
        <v>238</v>
      </c>
      <c r="J33" s="15"/>
      <c r="K33" s="166">
        <v>212</v>
      </c>
      <c r="L33" s="159"/>
      <c r="M33" s="217">
        <v>0</v>
      </c>
      <c r="N33" s="159"/>
      <c r="O33" s="211">
        <f t="shared" si="0"/>
        <v>0</v>
      </c>
      <c r="P33" s="16"/>
    </row>
    <row r="34" spans="1:16" ht="12.75">
      <c r="A34" s="17"/>
      <c r="B34" s="18" t="s">
        <v>43</v>
      </c>
      <c r="C34" s="18">
        <v>2</v>
      </c>
      <c r="D34" s="19" t="s">
        <v>44</v>
      </c>
      <c r="E34" s="28">
        <v>4000</v>
      </c>
      <c r="F34" s="23"/>
      <c r="G34" s="28">
        <v>4000</v>
      </c>
      <c r="H34" s="23"/>
      <c r="I34" s="28">
        <v>3950</v>
      </c>
      <c r="J34" s="23"/>
      <c r="K34" s="157">
        <v>1550</v>
      </c>
      <c r="L34" s="160"/>
      <c r="M34" s="186">
        <v>619</v>
      </c>
      <c r="N34" s="160"/>
      <c r="O34" s="211">
        <f t="shared" si="0"/>
        <v>0.3993548387096774</v>
      </c>
      <c r="P34" s="16"/>
    </row>
    <row r="35" spans="1:16" ht="12.75">
      <c r="A35" s="21"/>
      <c r="B35" s="22"/>
      <c r="C35" s="18">
        <v>3</v>
      </c>
      <c r="D35" s="26" t="s">
        <v>132</v>
      </c>
      <c r="E35" s="39">
        <v>2500</v>
      </c>
      <c r="F35" s="40"/>
      <c r="G35" s="39">
        <v>2500</v>
      </c>
      <c r="H35" s="40"/>
      <c r="I35" s="39">
        <v>2550</v>
      </c>
      <c r="J35" s="40"/>
      <c r="K35" s="164">
        <v>105</v>
      </c>
      <c r="L35" s="165"/>
      <c r="M35" s="216">
        <v>0</v>
      </c>
      <c r="N35" s="165"/>
      <c r="O35" s="211">
        <f t="shared" si="0"/>
        <v>0</v>
      </c>
      <c r="P35" s="16"/>
    </row>
    <row r="36" spans="1:16" ht="12.75">
      <c r="A36" s="21"/>
      <c r="B36" s="22"/>
      <c r="C36" s="18">
        <v>4</v>
      </c>
      <c r="D36" s="26" t="s">
        <v>45</v>
      </c>
      <c r="E36" s="39">
        <f>24*12</f>
        <v>288</v>
      </c>
      <c r="F36" s="40"/>
      <c r="G36" s="39">
        <f>24*12</f>
        <v>288</v>
      </c>
      <c r="H36" s="40"/>
      <c r="I36" s="39">
        <f>24*12</f>
        <v>288</v>
      </c>
      <c r="J36" s="40"/>
      <c r="K36" s="164">
        <v>211</v>
      </c>
      <c r="L36" s="165"/>
      <c r="M36" s="216">
        <v>120</v>
      </c>
      <c r="N36" s="165"/>
      <c r="O36" s="211">
        <f t="shared" si="0"/>
        <v>0.5687203791469194</v>
      </c>
      <c r="P36" s="16"/>
    </row>
    <row r="37" spans="1:16" ht="12.75">
      <c r="A37" s="21"/>
      <c r="B37" s="22"/>
      <c r="C37" s="18">
        <v>5</v>
      </c>
      <c r="D37" s="26" t="s">
        <v>151</v>
      </c>
      <c r="E37" s="39"/>
      <c r="F37" s="40"/>
      <c r="G37" s="39"/>
      <c r="H37" s="40"/>
      <c r="I37" s="39"/>
      <c r="J37" s="40"/>
      <c r="K37" s="164">
        <v>1050</v>
      </c>
      <c r="L37" s="165"/>
      <c r="M37" s="216">
        <v>233</v>
      </c>
      <c r="N37" s="165"/>
      <c r="O37" s="211">
        <f t="shared" si="0"/>
        <v>0.2219047619047619</v>
      </c>
      <c r="P37" s="16"/>
    </row>
    <row r="38" spans="1:16" ht="13.5" thickBot="1">
      <c r="A38" s="29"/>
      <c r="B38" s="30"/>
      <c r="C38" s="30"/>
      <c r="D38" s="31" t="s">
        <v>23</v>
      </c>
      <c r="E38" s="32"/>
      <c r="F38" s="41">
        <f>SUM(E33:E36)</f>
        <v>7026</v>
      </c>
      <c r="G38" s="32"/>
      <c r="H38" s="41">
        <f>SUM(G33:G36)</f>
        <v>7026</v>
      </c>
      <c r="I38" s="32"/>
      <c r="J38" s="41">
        <f>SUM(I33:I36)</f>
        <v>7026</v>
      </c>
      <c r="K38" s="161"/>
      <c r="L38" s="189">
        <f>SUM(K33:K37)</f>
        <v>3128</v>
      </c>
      <c r="M38" s="214"/>
      <c r="N38" s="158">
        <f>SUM(M33:M37)</f>
        <v>972</v>
      </c>
      <c r="O38" s="212">
        <f>+N38/L38</f>
        <v>0.31074168797953966</v>
      </c>
      <c r="P38" s="16"/>
    </row>
    <row r="39" spans="1:16" ht="12.75">
      <c r="A39" s="11" t="s">
        <v>46</v>
      </c>
      <c r="B39" s="43" t="s">
        <v>47</v>
      </c>
      <c r="C39" s="43">
        <v>1</v>
      </c>
      <c r="D39" s="13" t="s">
        <v>48</v>
      </c>
      <c r="E39" s="42">
        <v>134</v>
      </c>
      <c r="F39" s="15"/>
      <c r="G39" s="42">
        <v>134</v>
      </c>
      <c r="H39" s="15"/>
      <c r="I39" s="42">
        <v>134</v>
      </c>
      <c r="J39" s="15"/>
      <c r="K39" s="166">
        <v>134</v>
      </c>
      <c r="L39" s="159"/>
      <c r="M39" s="217">
        <v>67</v>
      </c>
      <c r="N39" s="159"/>
      <c r="O39" s="211">
        <f t="shared" si="0"/>
        <v>0.5</v>
      </c>
      <c r="P39" s="16"/>
    </row>
    <row r="40" spans="1:16" ht="12.75">
      <c r="A40" s="35"/>
      <c r="B40" s="44"/>
      <c r="C40" s="44">
        <v>2</v>
      </c>
      <c r="D40" s="24" t="s">
        <v>49</v>
      </c>
      <c r="E40" s="37">
        <v>300</v>
      </c>
      <c r="F40" s="38"/>
      <c r="G40" s="37">
        <v>350</v>
      </c>
      <c r="H40" s="38"/>
      <c r="I40" s="37">
        <v>350</v>
      </c>
      <c r="J40" s="38"/>
      <c r="K40" s="162">
        <v>350</v>
      </c>
      <c r="L40" s="163"/>
      <c r="M40" s="215">
        <f>58+130-67</f>
        <v>121</v>
      </c>
      <c r="N40" s="163"/>
      <c r="O40" s="211">
        <f t="shared" si="0"/>
        <v>0.3457142857142857</v>
      </c>
      <c r="P40" s="16"/>
    </row>
    <row r="41" spans="1:16" ht="12.75">
      <c r="A41" s="17"/>
      <c r="B41" s="45"/>
      <c r="C41" s="45">
        <v>3</v>
      </c>
      <c r="D41" s="19" t="s">
        <v>50</v>
      </c>
      <c r="E41" s="28">
        <v>446</v>
      </c>
      <c r="F41" s="23"/>
      <c r="G41" s="28">
        <v>446</v>
      </c>
      <c r="H41" s="23"/>
      <c r="I41" s="28">
        <v>446</v>
      </c>
      <c r="J41" s="23"/>
      <c r="K41" s="157">
        <f>446-112</f>
        <v>334</v>
      </c>
      <c r="L41" s="160"/>
      <c r="M41" s="186">
        <v>113</v>
      </c>
      <c r="N41" s="160"/>
      <c r="O41" s="211">
        <f t="shared" si="0"/>
        <v>0.3383233532934132</v>
      </c>
      <c r="P41" s="16"/>
    </row>
    <row r="42" spans="1:16" ht="12.75">
      <c r="A42" s="21"/>
      <c r="B42" s="46"/>
      <c r="C42" s="46">
        <v>4</v>
      </c>
      <c r="D42" s="26" t="s">
        <v>51</v>
      </c>
      <c r="E42" s="47">
        <f>120+418</f>
        <v>538</v>
      </c>
      <c r="F42" s="40"/>
      <c r="G42" s="47">
        <f>120+418</f>
        <v>538</v>
      </c>
      <c r="H42" s="40"/>
      <c r="I42" s="47">
        <f>120+418</f>
        <v>538</v>
      </c>
      <c r="J42" s="40"/>
      <c r="K42" s="164">
        <v>3535</v>
      </c>
      <c r="L42" s="165"/>
      <c r="M42" s="216">
        <v>1768</v>
      </c>
      <c r="N42" s="165"/>
      <c r="O42" s="211">
        <f t="shared" si="0"/>
        <v>0.5001414427157002</v>
      </c>
      <c r="P42" s="16"/>
    </row>
    <row r="43" spans="1:16" ht="13.5" thickBot="1">
      <c r="A43" s="29"/>
      <c r="B43" s="48"/>
      <c r="C43" s="48"/>
      <c r="D43" s="31" t="s">
        <v>23</v>
      </c>
      <c r="E43" s="32"/>
      <c r="F43" s="41">
        <f>SUM(E39:E42)</f>
        <v>1418</v>
      </c>
      <c r="G43" s="32"/>
      <c r="H43" s="41">
        <f>SUM(G39:G42)</f>
        <v>1468</v>
      </c>
      <c r="I43" s="32"/>
      <c r="J43" s="41">
        <f>SUM(I39:I42)</f>
        <v>1468</v>
      </c>
      <c r="K43" s="161"/>
      <c r="L43" s="189">
        <f>SUM(K39:K42)</f>
        <v>4353</v>
      </c>
      <c r="M43" s="214"/>
      <c r="N43" s="158">
        <f>SUM(M39:M42)</f>
        <v>2069</v>
      </c>
      <c r="O43" s="212">
        <f>+N43/L43</f>
        <v>0.47530438777854356</v>
      </c>
      <c r="P43" s="16"/>
    </row>
    <row r="44" spans="1:16" ht="13.5" thickBot="1">
      <c r="A44" s="49" t="s">
        <v>52</v>
      </c>
      <c r="B44" s="50" t="s">
        <v>53</v>
      </c>
      <c r="C44" s="50"/>
      <c r="D44" s="51"/>
      <c r="E44" s="52">
        <v>1100</v>
      </c>
      <c r="F44" s="53">
        <f>SUM(E44)</f>
        <v>1100</v>
      </c>
      <c r="G44" s="52">
        <v>1500</v>
      </c>
      <c r="H44" s="53">
        <f>SUM(G44)</f>
        <v>1500</v>
      </c>
      <c r="I44" s="52">
        <v>1650</v>
      </c>
      <c r="J44" s="53">
        <f>SUM(I44)</f>
        <v>1650</v>
      </c>
      <c r="K44" s="167">
        <v>1400</v>
      </c>
      <c r="L44" s="190">
        <f>SUM(K44)</f>
        <v>1400</v>
      </c>
      <c r="M44" s="209">
        <v>1527</v>
      </c>
      <c r="N44" s="168">
        <f>SUM(M44)</f>
        <v>1527</v>
      </c>
      <c r="O44" s="212">
        <f>+N44/L44</f>
        <v>1.0907142857142857</v>
      </c>
      <c r="P44" s="16"/>
    </row>
    <row r="45" spans="1:16" ht="13.5" thickBot="1">
      <c r="A45" s="49" t="s">
        <v>54</v>
      </c>
      <c r="B45" s="50" t="s">
        <v>55</v>
      </c>
      <c r="C45" s="50"/>
      <c r="D45" s="51"/>
      <c r="E45" s="52">
        <v>400</v>
      </c>
      <c r="F45" s="53">
        <f>SUM(E45)</f>
        <v>400</v>
      </c>
      <c r="G45" s="52">
        <v>400</v>
      </c>
      <c r="H45" s="53">
        <f>SUM(G45)</f>
        <v>400</v>
      </c>
      <c r="I45" s="52">
        <v>400</v>
      </c>
      <c r="J45" s="53">
        <f>SUM(I45)</f>
        <v>400</v>
      </c>
      <c r="K45" s="167">
        <v>750</v>
      </c>
      <c r="L45" s="190">
        <f>SUM(K45)</f>
        <v>750</v>
      </c>
      <c r="M45" s="209">
        <v>4</v>
      </c>
      <c r="N45" s="168">
        <f>SUM(M45)</f>
        <v>4</v>
      </c>
      <c r="O45" s="212">
        <f>+N45/L45</f>
        <v>0.005333333333333333</v>
      </c>
      <c r="P45" s="16"/>
    </row>
    <row r="46" spans="1:16" ht="12.75">
      <c r="A46" s="35" t="s">
        <v>56</v>
      </c>
      <c r="B46" s="44" t="s">
        <v>57</v>
      </c>
      <c r="C46" s="44">
        <v>1</v>
      </c>
      <c r="D46" s="24" t="s">
        <v>58</v>
      </c>
      <c r="E46" s="37">
        <v>650</v>
      </c>
      <c r="F46" s="38"/>
      <c r="G46" s="37">
        <v>700</v>
      </c>
      <c r="H46" s="38"/>
      <c r="I46" s="37">
        <f>713+92+50</f>
        <v>855</v>
      </c>
      <c r="J46" s="38"/>
      <c r="K46" s="162">
        <v>850</v>
      </c>
      <c r="L46" s="163"/>
      <c r="M46" s="215">
        <v>403</v>
      </c>
      <c r="N46" s="163"/>
      <c r="O46" s="211">
        <f t="shared" si="0"/>
        <v>0.47411764705882353</v>
      </c>
      <c r="P46" s="16"/>
    </row>
    <row r="47" spans="1:16" ht="12.75">
      <c r="A47" s="35"/>
      <c r="B47" s="44"/>
      <c r="C47" s="44">
        <f>+C46+1</f>
        <v>2</v>
      </c>
      <c r="D47" s="24" t="s">
        <v>59</v>
      </c>
      <c r="E47" s="37">
        <v>1050</v>
      </c>
      <c r="F47" s="38"/>
      <c r="G47" s="37">
        <v>1050</v>
      </c>
      <c r="H47" s="38"/>
      <c r="I47" s="37">
        <v>1050</v>
      </c>
      <c r="J47" s="38"/>
      <c r="K47" s="162">
        <v>950</v>
      </c>
      <c r="L47" s="163"/>
      <c r="M47" s="215">
        <f>94+386</f>
        <v>480</v>
      </c>
      <c r="N47" s="163"/>
      <c r="O47" s="211">
        <f t="shared" si="0"/>
        <v>0.5052631578947369</v>
      </c>
      <c r="P47" s="16"/>
    </row>
    <row r="48" spans="1:16" ht="12.75">
      <c r="A48" s="35"/>
      <c r="B48" s="44"/>
      <c r="C48" s="44">
        <f>+C47+1</f>
        <v>3</v>
      </c>
      <c r="D48" s="24" t="s">
        <v>60</v>
      </c>
      <c r="E48" s="37">
        <v>550</v>
      </c>
      <c r="F48" s="38"/>
      <c r="G48" s="37">
        <v>550</v>
      </c>
      <c r="H48" s="38"/>
      <c r="I48" s="37">
        <v>550</v>
      </c>
      <c r="J48" s="38"/>
      <c r="K48" s="162">
        <v>290</v>
      </c>
      <c r="L48" s="163"/>
      <c r="M48" s="215">
        <f>153+42</f>
        <v>195</v>
      </c>
      <c r="N48" s="163"/>
      <c r="O48" s="211">
        <f t="shared" si="0"/>
        <v>0.6724137931034483</v>
      </c>
      <c r="P48" s="16"/>
    </row>
    <row r="49" spans="1:16" ht="12.75">
      <c r="A49" s="35"/>
      <c r="B49" s="44"/>
      <c r="C49" s="44">
        <f>+C48+1</f>
        <v>4</v>
      </c>
      <c r="D49" s="19" t="s">
        <v>61</v>
      </c>
      <c r="E49" s="28">
        <v>762</v>
      </c>
      <c r="F49" s="38"/>
      <c r="G49" s="28">
        <v>762</v>
      </c>
      <c r="H49" s="38"/>
      <c r="I49" s="28">
        <v>762</v>
      </c>
      <c r="J49" s="38"/>
      <c r="K49" s="157">
        <v>900</v>
      </c>
      <c r="L49" s="163"/>
      <c r="M49" s="186">
        <f>17+5+23+29+13+46+67+232-153+7+3.2</f>
        <v>289.2</v>
      </c>
      <c r="N49" s="163"/>
      <c r="O49" s="211">
        <f t="shared" si="0"/>
        <v>0.3213333333333333</v>
      </c>
      <c r="P49" s="16"/>
    </row>
    <row r="50" spans="1:16" ht="13.5" thickBot="1">
      <c r="A50" s="29"/>
      <c r="B50" s="48"/>
      <c r="C50" s="48"/>
      <c r="D50" s="31" t="s">
        <v>23</v>
      </c>
      <c r="E50" s="32"/>
      <c r="F50" s="41">
        <f>SUM(E46:E49)</f>
        <v>3012</v>
      </c>
      <c r="G50" s="32"/>
      <c r="H50" s="41">
        <f>SUM(G46:G49)</f>
        <v>3062</v>
      </c>
      <c r="I50" s="32"/>
      <c r="J50" s="41">
        <f>SUM(I46:I49)</f>
        <v>3217</v>
      </c>
      <c r="K50" s="161"/>
      <c r="L50" s="189">
        <f>SUM(K46:K49)</f>
        <v>2990</v>
      </c>
      <c r="M50" s="214"/>
      <c r="N50" s="158">
        <f>SUM(M46:M49)</f>
        <v>1367.2</v>
      </c>
      <c r="O50" s="212">
        <f>+N50/L50</f>
        <v>0.45725752508361206</v>
      </c>
      <c r="P50" s="16"/>
    </row>
    <row r="51" spans="1:16" ht="13.5" thickBot="1">
      <c r="A51" s="54" t="s">
        <v>62</v>
      </c>
      <c r="B51" s="50" t="s">
        <v>63</v>
      </c>
      <c r="C51" s="50"/>
      <c r="D51" s="51"/>
      <c r="E51" s="55">
        <v>610</v>
      </c>
      <c r="F51" s="53">
        <f>SUM(E51)</f>
        <v>610</v>
      </c>
      <c r="G51" s="55">
        <v>610</v>
      </c>
      <c r="H51" s="53">
        <f>SUM(G51)</f>
        <v>610</v>
      </c>
      <c r="I51" s="55">
        <v>610</v>
      </c>
      <c r="J51" s="53">
        <f>SUM(I51)</f>
        <v>610</v>
      </c>
      <c r="K51" s="167">
        <v>630</v>
      </c>
      <c r="L51" s="190">
        <f>SUM(K51)</f>
        <v>630</v>
      </c>
      <c r="M51" s="209">
        <v>24873.5</v>
      </c>
      <c r="N51" s="168">
        <f>SUM(M51)</f>
        <v>24873.5</v>
      </c>
      <c r="O51" s="212"/>
      <c r="P51" s="16"/>
    </row>
    <row r="52" spans="1:16" ht="12.75">
      <c r="A52" s="56"/>
      <c r="B52" s="43" t="s">
        <v>64</v>
      </c>
      <c r="C52" s="43"/>
      <c r="D52" s="13"/>
      <c r="E52" s="42"/>
      <c r="F52" s="57">
        <f>SUM(F3:F51)</f>
        <v>62678.3</v>
      </c>
      <c r="G52" s="42"/>
      <c r="H52" s="57">
        <f>SUM(H3:H51)</f>
        <v>63271.3</v>
      </c>
      <c r="I52" s="42"/>
      <c r="J52" s="57">
        <f>SUM(J3:J51)</f>
        <v>64560.3</v>
      </c>
      <c r="K52" s="166"/>
      <c r="L52" s="191">
        <f>SUM(L3:L51)</f>
        <v>97683</v>
      </c>
      <c r="M52" s="217"/>
      <c r="N52" s="150">
        <f>SUM(N3:N51)</f>
        <v>67633.5</v>
      </c>
      <c r="O52" s="212">
        <f>+N52/L52</f>
        <v>0.6923773839869782</v>
      </c>
      <c r="P52" s="58"/>
    </row>
    <row r="53" spans="1:17" ht="13.5" thickBot="1">
      <c r="A53" s="59"/>
      <c r="B53" s="48" t="s">
        <v>65</v>
      </c>
      <c r="C53" s="48"/>
      <c r="D53" s="31"/>
      <c r="E53" s="32"/>
      <c r="F53" s="60">
        <f>+F52-610</f>
        <v>62068.3</v>
      </c>
      <c r="G53" s="32"/>
      <c r="H53" s="60">
        <f>+H52-610</f>
        <v>62661.3</v>
      </c>
      <c r="I53" s="32"/>
      <c r="J53" s="60">
        <f>+J52-610</f>
        <v>63950.3</v>
      </c>
      <c r="K53" s="161"/>
      <c r="L53" s="192">
        <f>+L52-630</f>
        <v>97053</v>
      </c>
      <c r="M53" s="214"/>
      <c r="N53" s="151">
        <f>+N52-24873.5</f>
        <v>42760</v>
      </c>
      <c r="O53" s="212">
        <f>+N53/L53</f>
        <v>0.4405840107982236</v>
      </c>
      <c r="P53" s="27">
        <f>+N53-N38-P13</f>
        <v>41219.3</v>
      </c>
      <c r="Q53" t="s">
        <v>66</v>
      </c>
    </row>
    <row r="54" spans="1:16" ht="18.75" thickBot="1">
      <c r="A54" s="1" t="s">
        <v>67</v>
      </c>
      <c r="B54" s="61"/>
      <c r="C54" s="61"/>
      <c r="D54" s="61"/>
      <c r="E54" s="232" t="s">
        <v>1</v>
      </c>
      <c r="F54" s="233"/>
      <c r="G54" s="232" t="s">
        <v>2</v>
      </c>
      <c r="H54" s="233"/>
      <c r="I54" s="232" t="s">
        <v>3</v>
      </c>
      <c r="J54" s="233"/>
      <c r="K54" s="230" t="s">
        <v>3</v>
      </c>
      <c r="L54" s="231"/>
      <c r="M54" s="230" t="s">
        <v>160</v>
      </c>
      <c r="N54" s="231"/>
      <c r="O54" s="211"/>
      <c r="P54" s="3"/>
    </row>
    <row r="55" spans="1:16" ht="13.5" thickBot="1">
      <c r="A55" s="62" t="s">
        <v>4</v>
      </c>
      <c r="B55" s="63" t="s">
        <v>5</v>
      </c>
      <c r="C55" s="63" t="s">
        <v>6</v>
      </c>
      <c r="D55" s="64" t="s">
        <v>7</v>
      </c>
      <c r="E55" s="65"/>
      <c r="F55" s="66" t="s">
        <v>8</v>
      </c>
      <c r="G55" s="65"/>
      <c r="H55" s="66" t="s">
        <v>8</v>
      </c>
      <c r="I55" s="65"/>
      <c r="J55" s="66" t="s">
        <v>8</v>
      </c>
      <c r="K55" s="65"/>
      <c r="L55" s="66" t="s">
        <v>8</v>
      </c>
      <c r="M55" s="218"/>
      <c r="N55" s="66" t="s">
        <v>8</v>
      </c>
      <c r="O55" s="211"/>
      <c r="P55" s="67"/>
    </row>
    <row r="56" spans="1:16" ht="12.75">
      <c r="A56" s="11" t="s">
        <v>9</v>
      </c>
      <c r="B56" s="43" t="s">
        <v>68</v>
      </c>
      <c r="C56" s="43">
        <v>1</v>
      </c>
      <c r="D56" s="13" t="s">
        <v>144</v>
      </c>
      <c r="E56" s="68">
        <v>2627</v>
      </c>
      <c r="F56" s="69"/>
      <c r="G56" s="68">
        <v>2627</v>
      </c>
      <c r="H56" s="69"/>
      <c r="I56" s="68">
        <v>2627</v>
      </c>
      <c r="J56" s="69"/>
      <c r="K56" s="169">
        <v>2760</v>
      </c>
      <c r="L56" s="170"/>
      <c r="M56" s="208">
        <v>1546</v>
      </c>
      <c r="N56" s="170"/>
      <c r="O56" s="211">
        <f t="shared" si="0"/>
        <v>0.5601449275362319</v>
      </c>
      <c r="P56" s="70"/>
    </row>
    <row r="57" spans="1:16" ht="12.75">
      <c r="A57" s="35"/>
      <c r="B57" s="44"/>
      <c r="C57" s="44">
        <f>+C56+1</f>
        <v>2</v>
      </c>
      <c r="D57" s="24" t="s">
        <v>138</v>
      </c>
      <c r="E57" s="72">
        <v>250</v>
      </c>
      <c r="F57" s="73"/>
      <c r="G57" s="72">
        <v>250</v>
      </c>
      <c r="H57" s="73"/>
      <c r="I57" s="72">
        <v>250</v>
      </c>
      <c r="J57" s="73"/>
      <c r="K57" s="171">
        <f>100+1000</f>
        <v>1100</v>
      </c>
      <c r="L57" s="172"/>
      <c r="M57" s="206">
        <v>83</v>
      </c>
      <c r="N57" s="172"/>
      <c r="O57" s="211">
        <f t="shared" si="0"/>
        <v>0.07545454545454545</v>
      </c>
      <c r="P57" s="70"/>
    </row>
    <row r="58" spans="1:16" ht="12.75">
      <c r="A58" s="17"/>
      <c r="B58" s="45"/>
      <c r="C58" s="44">
        <f aca="true" t="shared" si="3" ref="C58:C63">+C57+1</f>
        <v>3</v>
      </c>
      <c r="D58" s="19" t="s">
        <v>69</v>
      </c>
      <c r="E58" s="72">
        <v>542</v>
      </c>
      <c r="F58" s="73"/>
      <c r="G58" s="72">
        <v>542</v>
      </c>
      <c r="H58" s="73"/>
      <c r="I58" s="72">
        <v>542</v>
      </c>
      <c r="J58" s="73"/>
      <c r="K58" s="171">
        <v>542</v>
      </c>
      <c r="L58" s="172"/>
      <c r="M58" s="206">
        <v>316</v>
      </c>
      <c r="N58" s="172"/>
      <c r="O58" s="211">
        <f t="shared" si="0"/>
        <v>0.5830258302583026</v>
      </c>
      <c r="P58" s="70"/>
    </row>
    <row r="59" spans="1:16" ht="12.75">
      <c r="A59" s="17"/>
      <c r="B59" s="45"/>
      <c r="C59" s="44">
        <f t="shared" si="3"/>
        <v>4</v>
      </c>
      <c r="D59" s="19" t="s">
        <v>70</v>
      </c>
      <c r="E59" s="72">
        <v>0</v>
      </c>
      <c r="F59" s="74"/>
      <c r="G59" s="72">
        <v>0</v>
      </c>
      <c r="H59" s="74"/>
      <c r="I59" s="72">
        <v>925</v>
      </c>
      <c r="J59" s="74"/>
      <c r="K59" s="171">
        <f>300+528</f>
        <v>828</v>
      </c>
      <c r="L59" s="172"/>
      <c r="M59" s="206">
        <v>300</v>
      </c>
      <c r="N59" s="172"/>
      <c r="O59" s="211">
        <f t="shared" si="0"/>
        <v>0.36231884057971014</v>
      </c>
      <c r="P59" s="75"/>
    </row>
    <row r="60" spans="1:16" ht="12.75">
      <c r="A60" s="17"/>
      <c r="B60" s="45"/>
      <c r="C60" s="44">
        <f t="shared" si="3"/>
        <v>5</v>
      </c>
      <c r="D60" s="19" t="s">
        <v>71</v>
      </c>
      <c r="E60" s="72">
        <v>306</v>
      </c>
      <c r="F60" s="73"/>
      <c r="G60" s="72">
        <v>306</v>
      </c>
      <c r="H60" s="73"/>
      <c r="I60" s="72">
        <v>306</v>
      </c>
      <c r="J60" s="73"/>
      <c r="K60" s="171">
        <f>306+35+78</f>
        <v>419</v>
      </c>
      <c r="L60" s="172"/>
      <c r="M60" s="206">
        <v>179</v>
      </c>
      <c r="N60" s="172"/>
      <c r="O60" s="211">
        <f t="shared" si="0"/>
        <v>0.42720763723150357</v>
      </c>
      <c r="P60" s="70"/>
    </row>
    <row r="61" spans="1:16" ht="12.75">
      <c r="A61" s="17"/>
      <c r="B61" s="45"/>
      <c r="C61" s="44">
        <f t="shared" si="3"/>
        <v>6</v>
      </c>
      <c r="D61" s="19" t="s">
        <v>72</v>
      </c>
      <c r="E61" s="72">
        <v>377</v>
      </c>
      <c r="F61" s="73"/>
      <c r="G61" s="72">
        <v>377</v>
      </c>
      <c r="H61" s="73"/>
      <c r="I61" s="72">
        <f>377+9</f>
        <v>386</v>
      </c>
      <c r="J61" s="73"/>
      <c r="K61" s="171">
        <v>380</v>
      </c>
      <c r="L61" s="172"/>
      <c r="M61" s="206">
        <v>222</v>
      </c>
      <c r="N61" s="172"/>
      <c r="O61" s="211">
        <f t="shared" si="0"/>
        <v>0.5842105263157895</v>
      </c>
      <c r="P61" s="70"/>
    </row>
    <row r="62" spans="1:16" ht="12.75">
      <c r="A62" s="17"/>
      <c r="B62" s="45"/>
      <c r="C62" s="44">
        <f t="shared" si="3"/>
        <v>7</v>
      </c>
      <c r="D62" s="19" t="s">
        <v>73</v>
      </c>
      <c r="E62" s="72">
        <v>789</v>
      </c>
      <c r="F62" s="73"/>
      <c r="G62" s="72">
        <v>789</v>
      </c>
      <c r="H62" s="73"/>
      <c r="I62" s="72">
        <v>789</v>
      </c>
      <c r="J62" s="73"/>
      <c r="K62" s="171">
        <f>832+215</f>
        <v>1047</v>
      </c>
      <c r="L62" s="172"/>
      <c r="M62" s="206">
        <v>485</v>
      </c>
      <c r="N62" s="172"/>
      <c r="O62" s="211">
        <f t="shared" si="0"/>
        <v>0.46322827125119387</v>
      </c>
      <c r="P62" s="70"/>
    </row>
    <row r="63" spans="1:16" ht="12.75">
      <c r="A63" s="21"/>
      <c r="B63" s="46"/>
      <c r="C63" s="44">
        <f t="shared" si="3"/>
        <v>8</v>
      </c>
      <c r="D63" s="26" t="s">
        <v>74</v>
      </c>
      <c r="E63" s="72">
        <v>181</v>
      </c>
      <c r="F63" s="73"/>
      <c r="G63" s="72">
        <v>181</v>
      </c>
      <c r="H63" s="73"/>
      <c r="I63" s="72">
        <v>181</v>
      </c>
      <c r="J63" s="73"/>
      <c r="K63" s="171">
        <v>181</v>
      </c>
      <c r="L63" s="172"/>
      <c r="M63" s="206">
        <v>106</v>
      </c>
      <c r="N63" s="172"/>
      <c r="O63" s="211">
        <f t="shared" si="0"/>
        <v>0.585635359116022</v>
      </c>
      <c r="P63" s="70"/>
    </row>
    <row r="64" spans="1:16" ht="13.5" thickBot="1">
      <c r="A64" s="21"/>
      <c r="B64" s="46"/>
      <c r="C64" s="46"/>
      <c r="D64" s="26" t="s">
        <v>23</v>
      </c>
      <c r="E64" s="76"/>
      <c r="F64" s="77">
        <f>SUM(E56:E63)</f>
        <v>5072</v>
      </c>
      <c r="G64" s="76"/>
      <c r="H64" s="77">
        <f>SUM(G56:G63)</f>
        <v>5072</v>
      </c>
      <c r="I64" s="76"/>
      <c r="J64" s="77">
        <f>SUM(I56:I63)</f>
        <v>6006</v>
      </c>
      <c r="K64" s="173"/>
      <c r="L64" s="193">
        <f>SUM(K56:K63)</f>
        <v>7257</v>
      </c>
      <c r="M64" s="219"/>
      <c r="N64" s="174">
        <f>SUM(M56:M63)</f>
        <v>3237</v>
      </c>
      <c r="O64" s="212">
        <f>+N64/L64</f>
        <v>0.4460520876395205</v>
      </c>
      <c r="P64" s="78"/>
    </row>
    <row r="65" spans="1:16" ht="12.75">
      <c r="A65" s="11" t="s">
        <v>18</v>
      </c>
      <c r="B65" s="43" t="s">
        <v>75</v>
      </c>
      <c r="C65" s="43">
        <v>1</v>
      </c>
      <c r="D65" s="13" t="s">
        <v>76</v>
      </c>
      <c r="E65" s="68">
        <f>25398-22-1407+350</f>
        <v>24319</v>
      </c>
      <c r="F65" s="79"/>
      <c r="G65" s="68">
        <f>25398-22-1407+350</f>
        <v>24319</v>
      </c>
      <c r="H65" s="79"/>
      <c r="I65" s="68">
        <f>25398-22-1407+350</f>
        <v>24319</v>
      </c>
      <c r="J65" s="79"/>
      <c r="K65" s="169">
        <f>1810+630+21916+1640+576-100+159.5</f>
        <v>26631.5</v>
      </c>
      <c r="L65" s="170"/>
      <c r="M65" s="208">
        <f>13880-268-6+819+116+313-363+122-1573-379</f>
        <v>12661</v>
      </c>
      <c r="N65" s="170"/>
      <c r="O65" s="211">
        <f t="shared" si="0"/>
        <v>0.47541445280964273</v>
      </c>
      <c r="P65" s="80"/>
    </row>
    <row r="66" spans="1:16" ht="12.75">
      <c r="A66" s="17"/>
      <c r="B66" s="45"/>
      <c r="C66" s="45">
        <v>2</v>
      </c>
      <c r="D66" s="19" t="s">
        <v>77</v>
      </c>
      <c r="E66" s="72">
        <v>820</v>
      </c>
      <c r="F66" s="81"/>
      <c r="G66" s="72">
        <v>820</v>
      </c>
      <c r="H66" s="81"/>
      <c r="I66" s="72">
        <v>845</v>
      </c>
      <c r="J66" s="81"/>
      <c r="K66" s="171">
        <v>930</v>
      </c>
      <c r="L66" s="172"/>
      <c r="M66" s="206">
        <v>456</v>
      </c>
      <c r="N66" s="172"/>
      <c r="O66" s="211">
        <f t="shared" si="0"/>
        <v>0.49032258064516127</v>
      </c>
      <c r="P66" s="80"/>
    </row>
    <row r="67" spans="1:16" ht="13.5" thickBot="1">
      <c r="A67" s="29"/>
      <c r="B67" s="48"/>
      <c r="C67" s="48"/>
      <c r="D67" s="31" t="s">
        <v>8</v>
      </c>
      <c r="E67" s="82"/>
      <c r="F67" s="83">
        <f>SUM(E65:E66)</f>
        <v>25139</v>
      </c>
      <c r="G67" s="82"/>
      <c r="H67" s="83">
        <f>SUM(G65:G66)</f>
        <v>25139</v>
      </c>
      <c r="I67" s="82"/>
      <c r="J67" s="83">
        <f>SUM(I65:I66)</f>
        <v>25164</v>
      </c>
      <c r="K67" s="173"/>
      <c r="L67" s="194">
        <f>SUM(K65:K66)</f>
        <v>27561.5</v>
      </c>
      <c r="M67" s="219"/>
      <c r="N67" s="175">
        <f>SUM(M65:M66)</f>
        <v>13117</v>
      </c>
      <c r="O67" s="212">
        <f>+N67/L67</f>
        <v>0.4759174936052102</v>
      </c>
      <c r="P67" s="80"/>
    </row>
    <row r="68" spans="1:16" ht="12.75">
      <c r="A68" s="35" t="s">
        <v>24</v>
      </c>
      <c r="B68" s="44" t="s">
        <v>78</v>
      </c>
      <c r="C68" s="44">
        <v>1</v>
      </c>
      <c r="D68" s="24" t="s">
        <v>79</v>
      </c>
      <c r="E68" s="68">
        <v>1000</v>
      </c>
      <c r="F68" s="69"/>
      <c r="G68" s="68">
        <v>1000</v>
      </c>
      <c r="H68" s="69"/>
      <c r="I68" s="68">
        <v>1000</v>
      </c>
      <c r="J68" s="69"/>
      <c r="K68" s="169">
        <f>120+980+111+41</f>
        <v>1252</v>
      </c>
      <c r="L68" s="170"/>
      <c r="M68" s="208">
        <f>724+70</f>
        <v>794</v>
      </c>
      <c r="N68" s="170"/>
      <c r="O68" s="211">
        <f aca="true" t="shared" si="4" ref="O68:O130">+M68/K68</f>
        <v>0.634185303514377</v>
      </c>
      <c r="P68" s="70"/>
    </row>
    <row r="69" spans="1:16" ht="12.75">
      <c r="A69" s="17"/>
      <c r="B69" s="45"/>
      <c r="C69" s="45">
        <f>+C68+1</f>
        <v>2</v>
      </c>
      <c r="D69" s="19" t="s">
        <v>80</v>
      </c>
      <c r="E69" s="72">
        <f>750*0.95+0.5</f>
        <v>713</v>
      </c>
      <c r="F69" s="73"/>
      <c r="G69" s="72">
        <f>323+750*0.95+0.5</f>
        <v>1036</v>
      </c>
      <c r="H69" s="73"/>
      <c r="I69" s="72">
        <f>323+750*0.95+0.5</f>
        <v>1036</v>
      </c>
      <c r="J69" s="73"/>
      <c r="K69" s="171">
        <f>750.3+301.7</f>
        <v>1052</v>
      </c>
      <c r="L69" s="172"/>
      <c r="M69" s="206">
        <f>301.7+437.3</f>
        <v>739</v>
      </c>
      <c r="N69" s="172"/>
      <c r="O69" s="211">
        <f t="shared" si="4"/>
        <v>0.7024714828897338</v>
      </c>
      <c r="P69" s="70"/>
    </row>
    <row r="70" spans="1:16" ht="12.75">
      <c r="A70" s="17"/>
      <c r="B70" s="45"/>
      <c r="C70" s="45">
        <f>+C69+1</f>
        <v>3</v>
      </c>
      <c r="D70" s="19" t="s">
        <v>81</v>
      </c>
      <c r="E70" s="72"/>
      <c r="F70" s="73"/>
      <c r="G70" s="72"/>
      <c r="H70" s="73"/>
      <c r="I70" s="72"/>
      <c r="J70" s="73"/>
      <c r="K70" s="171">
        <v>200</v>
      </c>
      <c r="L70" s="172"/>
      <c r="M70" s="206">
        <v>100</v>
      </c>
      <c r="N70" s="172"/>
      <c r="O70" s="211">
        <f t="shared" si="4"/>
        <v>0.5</v>
      </c>
      <c r="P70" s="70"/>
    </row>
    <row r="71" spans="1:16" ht="12.75">
      <c r="A71" s="17"/>
      <c r="B71" s="45"/>
      <c r="C71" s="45">
        <f>+C70+1</f>
        <v>4</v>
      </c>
      <c r="D71" s="19" t="s">
        <v>143</v>
      </c>
      <c r="E71" s="72">
        <v>360</v>
      </c>
      <c r="F71" s="73"/>
      <c r="G71" s="72">
        <v>360</v>
      </c>
      <c r="H71" s="73"/>
      <c r="I71" s="72">
        <v>360</v>
      </c>
      <c r="J71" s="73"/>
      <c r="K71" s="171">
        <v>400</v>
      </c>
      <c r="L71" s="172"/>
      <c r="M71" s="206">
        <v>180</v>
      </c>
      <c r="N71" s="172"/>
      <c r="O71" s="211">
        <f t="shared" si="4"/>
        <v>0.45</v>
      </c>
      <c r="P71" s="70"/>
    </row>
    <row r="72" spans="1:16" ht="12.75">
      <c r="A72" s="17"/>
      <c r="B72" s="45"/>
      <c r="C72" s="45">
        <f>+C71+1</f>
        <v>5</v>
      </c>
      <c r="D72" s="19" t="s">
        <v>130</v>
      </c>
      <c r="E72" s="72"/>
      <c r="F72" s="73"/>
      <c r="G72" s="72"/>
      <c r="H72" s="73"/>
      <c r="I72" s="72"/>
      <c r="J72" s="73"/>
      <c r="K72" s="171">
        <v>309</v>
      </c>
      <c r="L72" s="172"/>
      <c r="M72" s="206">
        <v>18</v>
      </c>
      <c r="N72" s="172"/>
      <c r="O72" s="211">
        <f t="shared" si="4"/>
        <v>0.05825242718446602</v>
      </c>
      <c r="P72" s="70"/>
    </row>
    <row r="73" spans="1:16" ht="12.75">
      <c r="A73" s="17"/>
      <c r="B73" s="45"/>
      <c r="C73" s="45">
        <f>+C72+1</f>
        <v>6</v>
      </c>
      <c r="D73" s="19" t="s">
        <v>82</v>
      </c>
      <c r="E73" s="84">
        <v>320</v>
      </c>
      <c r="F73" s="73"/>
      <c r="G73" s="84">
        <v>320</v>
      </c>
      <c r="H73" s="73"/>
      <c r="I73" s="84">
        <v>320</v>
      </c>
      <c r="J73" s="73"/>
      <c r="K73" s="171">
        <v>500</v>
      </c>
      <c r="L73" s="172"/>
      <c r="M73" s="206">
        <f>5+50+147-18+2+61</f>
        <v>247</v>
      </c>
      <c r="N73" s="172"/>
      <c r="O73" s="211">
        <f t="shared" si="4"/>
        <v>0.494</v>
      </c>
      <c r="P73" s="70"/>
    </row>
    <row r="74" spans="1:16" ht="13.5" thickBot="1">
      <c r="A74" s="21"/>
      <c r="B74" s="46"/>
      <c r="C74" s="46"/>
      <c r="D74" s="26" t="s">
        <v>23</v>
      </c>
      <c r="E74" s="85"/>
      <c r="F74" s="86">
        <f>SUM(E68:E73)</f>
        <v>2393</v>
      </c>
      <c r="G74" s="85"/>
      <c r="H74" s="86">
        <f>SUM(G68:G73)</f>
        <v>2716</v>
      </c>
      <c r="I74" s="85"/>
      <c r="J74" s="86">
        <f>SUM(I68:I73)</f>
        <v>2716</v>
      </c>
      <c r="K74" s="176"/>
      <c r="L74" s="178">
        <f>SUM(K68:K73)</f>
        <v>3713</v>
      </c>
      <c r="M74" s="187"/>
      <c r="N74" s="177">
        <f>SUM(M68:M73)</f>
        <v>2078</v>
      </c>
      <c r="O74" s="212">
        <f>+N74/L74</f>
        <v>0.5596552652841368</v>
      </c>
      <c r="P74" s="80"/>
    </row>
    <row r="75" spans="1:16" ht="12.75">
      <c r="A75" s="11" t="s">
        <v>40</v>
      </c>
      <c r="B75" s="87" t="s">
        <v>83</v>
      </c>
      <c r="C75" s="43">
        <v>1</v>
      </c>
      <c r="D75" s="13" t="s">
        <v>158</v>
      </c>
      <c r="E75" s="88">
        <v>29500</v>
      </c>
      <c r="F75" s="69"/>
      <c r="G75" s="88">
        <f>29540-2911</f>
        <v>26629</v>
      </c>
      <c r="H75" s="69"/>
      <c r="I75" s="88">
        <f>26100+555</f>
        <v>26655</v>
      </c>
      <c r="J75" s="69"/>
      <c r="K75" s="169">
        <f>6067+800</f>
        <v>6867</v>
      </c>
      <c r="L75" s="170"/>
      <c r="M75" s="208">
        <v>42</v>
      </c>
      <c r="N75" s="170"/>
      <c r="O75" s="211">
        <f t="shared" si="4"/>
        <v>0.0061162079510703364</v>
      </c>
      <c r="P75" s="70"/>
    </row>
    <row r="76" spans="1:16" ht="12.75">
      <c r="A76" s="21"/>
      <c r="B76" s="46"/>
      <c r="C76" s="44">
        <f>C75+1</f>
        <v>2</v>
      </c>
      <c r="D76" s="19" t="s">
        <v>84</v>
      </c>
      <c r="E76" s="85"/>
      <c r="F76" s="89"/>
      <c r="G76" s="85">
        <v>100</v>
      </c>
      <c r="H76" s="89"/>
      <c r="I76" s="85">
        <v>0</v>
      </c>
      <c r="J76" s="89"/>
      <c r="K76" s="176">
        <v>0</v>
      </c>
      <c r="L76" s="178"/>
      <c r="M76" s="187">
        <v>0</v>
      </c>
      <c r="N76" s="178"/>
      <c r="O76" s="211">
        <v>0</v>
      </c>
      <c r="P76" s="70"/>
    </row>
    <row r="77" spans="1:16" ht="12.75">
      <c r="A77" s="21"/>
      <c r="B77" s="46"/>
      <c r="C77" s="44">
        <f aca="true" t="shared" si="5" ref="C77:C90">+C76+1</f>
        <v>3</v>
      </c>
      <c r="D77" s="19" t="s">
        <v>122</v>
      </c>
      <c r="E77" s="85"/>
      <c r="F77" s="89"/>
      <c r="G77" s="85"/>
      <c r="H77" s="89"/>
      <c r="I77" s="85">
        <v>330</v>
      </c>
      <c r="J77" s="89"/>
      <c r="K77" s="176">
        <v>1100</v>
      </c>
      <c r="L77" s="178"/>
      <c r="M77" s="187">
        <v>606</v>
      </c>
      <c r="N77" s="178"/>
      <c r="O77" s="211">
        <f t="shared" si="4"/>
        <v>0.5509090909090909</v>
      </c>
      <c r="P77" s="70"/>
    </row>
    <row r="78" spans="1:16" ht="12.75">
      <c r="A78" s="21"/>
      <c r="B78" s="46"/>
      <c r="C78" s="44">
        <f t="shared" si="5"/>
        <v>4</v>
      </c>
      <c r="D78" s="19" t="s">
        <v>134</v>
      </c>
      <c r="E78" s="85"/>
      <c r="F78" s="89"/>
      <c r="G78" s="85"/>
      <c r="H78" s="89"/>
      <c r="I78" s="85"/>
      <c r="J78" s="89"/>
      <c r="K78" s="176">
        <v>14000</v>
      </c>
      <c r="L78" s="178"/>
      <c r="M78" s="187">
        <f>12499+77</f>
        <v>12576</v>
      </c>
      <c r="N78" s="178"/>
      <c r="O78" s="211">
        <f t="shared" si="4"/>
        <v>0.8982857142857142</v>
      </c>
      <c r="P78" s="70"/>
    </row>
    <row r="79" spans="1:16" ht="12.75">
      <c r="A79" s="21"/>
      <c r="B79" s="46"/>
      <c r="C79" s="44">
        <f t="shared" si="5"/>
        <v>5</v>
      </c>
      <c r="D79" s="19" t="s">
        <v>142</v>
      </c>
      <c r="E79" s="85"/>
      <c r="F79" s="89"/>
      <c r="G79" s="85"/>
      <c r="H79" s="89"/>
      <c r="I79" s="85"/>
      <c r="J79" s="89"/>
      <c r="K79" s="176">
        <v>410</v>
      </c>
      <c r="L79" s="178"/>
      <c r="M79" s="187">
        <v>0</v>
      </c>
      <c r="N79" s="178"/>
      <c r="O79" s="211">
        <f t="shared" si="4"/>
        <v>0</v>
      </c>
      <c r="P79" s="70"/>
    </row>
    <row r="80" spans="1:16" ht="12.75">
      <c r="A80" s="21"/>
      <c r="B80" s="46"/>
      <c r="C80" s="44">
        <f t="shared" si="5"/>
        <v>6</v>
      </c>
      <c r="D80" s="19" t="s">
        <v>141</v>
      </c>
      <c r="E80" s="85"/>
      <c r="F80" s="89"/>
      <c r="G80" s="85"/>
      <c r="H80" s="89"/>
      <c r="I80" s="85"/>
      <c r="J80" s="89"/>
      <c r="K80" s="176">
        <v>1800</v>
      </c>
      <c r="L80" s="178"/>
      <c r="M80" s="187">
        <v>0</v>
      </c>
      <c r="N80" s="178"/>
      <c r="O80" s="211">
        <f t="shared" si="4"/>
        <v>0</v>
      </c>
      <c r="P80" s="70"/>
    </row>
    <row r="81" spans="1:16" ht="12.75">
      <c r="A81" s="21"/>
      <c r="B81" s="46"/>
      <c r="C81" s="44">
        <f t="shared" si="5"/>
        <v>7</v>
      </c>
      <c r="D81" s="19" t="s">
        <v>149</v>
      </c>
      <c r="E81" s="85"/>
      <c r="F81" s="89"/>
      <c r="G81" s="85"/>
      <c r="H81" s="89"/>
      <c r="I81" s="85"/>
      <c r="J81" s="89"/>
      <c r="K81" s="176">
        <v>1730</v>
      </c>
      <c r="L81" s="178"/>
      <c r="M81" s="187">
        <v>19</v>
      </c>
      <c r="N81" s="178"/>
      <c r="O81" s="211">
        <f t="shared" si="4"/>
        <v>0.010982658959537572</v>
      </c>
      <c r="P81" s="70"/>
    </row>
    <row r="82" spans="1:16" ht="12.75">
      <c r="A82" s="21"/>
      <c r="B82" s="46"/>
      <c r="C82" s="44">
        <f t="shared" si="5"/>
        <v>8</v>
      </c>
      <c r="D82" s="19" t="s">
        <v>145</v>
      </c>
      <c r="E82" s="85"/>
      <c r="F82" s="89"/>
      <c r="G82" s="85"/>
      <c r="H82" s="89"/>
      <c r="I82" s="85"/>
      <c r="J82" s="89"/>
      <c r="K82" s="176">
        <v>300</v>
      </c>
      <c r="L82" s="178"/>
      <c r="M82" s="187">
        <v>0</v>
      </c>
      <c r="N82" s="178"/>
      <c r="O82" s="211">
        <f t="shared" si="4"/>
        <v>0</v>
      </c>
      <c r="P82" s="70"/>
    </row>
    <row r="83" spans="1:16" ht="12.75">
      <c r="A83" s="21"/>
      <c r="B83" s="46"/>
      <c r="C83" s="44">
        <f t="shared" si="5"/>
        <v>9</v>
      </c>
      <c r="D83" s="19" t="s">
        <v>156</v>
      </c>
      <c r="E83" s="85"/>
      <c r="F83" s="89"/>
      <c r="G83" s="85"/>
      <c r="H83" s="89"/>
      <c r="I83" s="85"/>
      <c r="J83" s="89"/>
      <c r="K83" s="176">
        <v>952</v>
      </c>
      <c r="L83" s="178"/>
      <c r="M83" s="187">
        <v>952</v>
      </c>
      <c r="N83" s="178"/>
      <c r="O83" s="211">
        <f t="shared" si="4"/>
        <v>1</v>
      </c>
      <c r="P83" s="70"/>
    </row>
    <row r="84" spans="1:16" ht="12.75">
      <c r="A84" s="21"/>
      <c r="B84" s="46"/>
      <c r="C84" s="44">
        <f t="shared" si="5"/>
        <v>10</v>
      </c>
      <c r="D84" s="19" t="s">
        <v>150</v>
      </c>
      <c r="E84" s="85"/>
      <c r="F84" s="89"/>
      <c r="G84" s="85"/>
      <c r="H84" s="89"/>
      <c r="I84" s="85"/>
      <c r="J84" s="89"/>
      <c r="K84" s="176">
        <v>1950</v>
      </c>
      <c r="L84" s="178"/>
      <c r="M84" s="187">
        <v>45</v>
      </c>
      <c r="N84" s="178"/>
      <c r="O84" s="211">
        <f t="shared" si="4"/>
        <v>0.023076923076923078</v>
      </c>
      <c r="P84" s="70"/>
    </row>
    <row r="85" spans="1:16" ht="12.75">
      <c r="A85" s="21"/>
      <c r="B85" s="46"/>
      <c r="C85" s="44">
        <f t="shared" si="5"/>
        <v>11</v>
      </c>
      <c r="D85" s="19" t="s">
        <v>131</v>
      </c>
      <c r="E85" s="85"/>
      <c r="F85" s="89"/>
      <c r="G85" s="85"/>
      <c r="H85" s="89"/>
      <c r="I85" s="85"/>
      <c r="J85" s="89"/>
      <c r="K85" s="176">
        <v>100</v>
      </c>
      <c r="L85" s="178"/>
      <c r="M85" s="187">
        <v>0</v>
      </c>
      <c r="N85" s="178"/>
      <c r="O85" s="211">
        <f t="shared" si="4"/>
        <v>0</v>
      </c>
      <c r="P85" s="70"/>
    </row>
    <row r="86" spans="1:16" ht="12.75">
      <c r="A86" s="21"/>
      <c r="B86" s="46"/>
      <c r="C86" s="44">
        <f t="shared" si="5"/>
        <v>12</v>
      </c>
      <c r="D86" s="19" t="s">
        <v>159</v>
      </c>
      <c r="E86" s="85"/>
      <c r="F86" s="89"/>
      <c r="G86" s="85"/>
      <c r="H86" s="89"/>
      <c r="I86" s="85"/>
      <c r="J86" s="89"/>
      <c r="K86" s="176">
        <v>500</v>
      </c>
      <c r="L86" s="178"/>
      <c r="M86" s="187">
        <v>30</v>
      </c>
      <c r="N86" s="178"/>
      <c r="O86" s="211">
        <f t="shared" si="4"/>
        <v>0.06</v>
      </c>
      <c r="P86" s="70"/>
    </row>
    <row r="87" spans="1:16" ht="12.75">
      <c r="A87" s="21"/>
      <c r="B87" s="46"/>
      <c r="C87" s="44">
        <f t="shared" si="5"/>
        <v>13</v>
      </c>
      <c r="D87" s="19" t="s">
        <v>139</v>
      </c>
      <c r="E87" s="85"/>
      <c r="F87" s="89"/>
      <c r="G87" s="85"/>
      <c r="H87" s="89"/>
      <c r="I87" s="85"/>
      <c r="J87" s="89"/>
      <c r="K87" s="176">
        <v>450</v>
      </c>
      <c r="L87" s="178"/>
      <c r="M87" s="187">
        <v>0</v>
      </c>
      <c r="N87" s="178"/>
      <c r="O87" s="211">
        <f t="shared" si="4"/>
        <v>0</v>
      </c>
      <c r="P87" s="70"/>
    </row>
    <row r="88" spans="1:16" ht="12.75">
      <c r="A88" s="21"/>
      <c r="B88" s="46"/>
      <c r="C88" s="44">
        <f t="shared" si="5"/>
        <v>14</v>
      </c>
      <c r="D88" s="19" t="s">
        <v>155</v>
      </c>
      <c r="E88" s="85"/>
      <c r="F88" s="89"/>
      <c r="G88" s="85"/>
      <c r="H88" s="89"/>
      <c r="I88" s="85"/>
      <c r="J88" s="89"/>
      <c r="K88" s="176">
        <v>450</v>
      </c>
      <c r="L88" s="178"/>
      <c r="M88" s="187">
        <v>0</v>
      </c>
      <c r="N88" s="178"/>
      <c r="O88" s="211">
        <f t="shared" si="4"/>
        <v>0</v>
      </c>
      <c r="P88" s="70"/>
    </row>
    <row r="89" spans="1:16" ht="12.75">
      <c r="A89" s="21"/>
      <c r="B89" s="46"/>
      <c r="C89" s="44">
        <f t="shared" si="5"/>
        <v>15</v>
      </c>
      <c r="D89" s="19" t="s">
        <v>140</v>
      </c>
      <c r="E89" s="85"/>
      <c r="F89" s="89"/>
      <c r="G89" s="85"/>
      <c r="H89" s="89"/>
      <c r="I89" s="85"/>
      <c r="J89" s="89"/>
      <c r="K89" s="176">
        <v>0</v>
      </c>
      <c r="L89" s="178"/>
      <c r="M89" s="187">
        <v>0</v>
      </c>
      <c r="N89" s="178"/>
      <c r="O89" s="211">
        <v>0</v>
      </c>
      <c r="P89" s="70"/>
    </row>
    <row r="90" spans="1:16" ht="12.75">
      <c r="A90" s="21"/>
      <c r="B90" s="46"/>
      <c r="C90" s="44">
        <f t="shared" si="5"/>
        <v>16</v>
      </c>
      <c r="D90" s="19" t="s">
        <v>85</v>
      </c>
      <c r="E90" s="85">
        <v>700</v>
      </c>
      <c r="F90" s="89"/>
      <c r="G90" s="85">
        <v>170</v>
      </c>
      <c r="H90" s="89"/>
      <c r="I90" s="85">
        <v>200</v>
      </c>
      <c r="J90" s="89"/>
      <c r="K90" s="176">
        <v>180</v>
      </c>
      <c r="L90" s="178"/>
      <c r="M90" s="187">
        <f>24+268+126+37+59+6+2</f>
        <v>522</v>
      </c>
      <c r="N90" s="178"/>
      <c r="O90" s="211">
        <f t="shared" si="4"/>
        <v>2.9</v>
      </c>
      <c r="P90" s="70"/>
    </row>
    <row r="91" spans="1:16" ht="13.5" thickBot="1">
      <c r="A91" s="29"/>
      <c r="B91" s="48"/>
      <c r="C91" s="44"/>
      <c r="D91" s="90" t="s">
        <v>23</v>
      </c>
      <c r="E91" s="76"/>
      <c r="F91" s="91">
        <f>SUM(E75:E90)</f>
        <v>30200</v>
      </c>
      <c r="G91" s="76"/>
      <c r="H91" s="91">
        <f>SUM(G75:G90)</f>
        <v>26899</v>
      </c>
      <c r="I91" s="76"/>
      <c r="J91" s="91">
        <f>SUM(I75:I90)</f>
        <v>27185</v>
      </c>
      <c r="K91" s="173"/>
      <c r="L91" s="194">
        <f>SUM(K75:K90)</f>
        <v>30789</v>
      </c>
      <c r="M91" s="219"/>
      <c r="N91" s="175">
        <f>SUM(M75:M90)</f>
        <v>14792</v>
      </c>
      <c r="O91" s="212">
        <f>+N91/L91</f>
        <v>0.4804313228750528</v>
      </c>
      <c r="P91" s="70"/>
    </row>
    <row r="92" spans="1:16" ht="12.75">
      <c r="A92" s="11" t="s">
        <v>46</v>
      </c>
      <c r="B92" s="43" t="s">
        <v>86</v>
      </c>
      <c r="C92" s="43">
        <v>1</v>
      </c>
      <c r="D92" s="93" t="s">
        <v>87</v>
      </c>
      <c r="E92" s="94">
        <v>150</v>
      </c>
      <c r="F92" s="71"/>
      <c r="G92" s="94">
        <v>150</v>
      </c>
      <c r="H92" s="71"/>
      <c r="I92" s="94">
        <v>125</v>
      </c>
      <c r="J92" s="71"/>
      <c r="K92" s="179">
        <v>105</v>
      </c>
      <c r="L92" s="180"/>
      <c r="M92" s="220">
        <f>8+34</f>
        <v>42</v>
      </c>
      <c r="N92" s="180"/>
      <c r="O92" s="211">
        <f t="shared" si="4"/>
        <v>0.4</v>
      </c>
      <c r="P92" s="70"/>
    </row>
    <row r="93" spans="1:16" ht="12.75">
      <c r="A93" s="17"/>
      <c r="B93" s="45"/>
      <c r="C93" s="45">
        <f aca="true" t="shared" si="6" ref="C93:C106">+C92+1</f>
        <v>2</v>
      </c>
      <c r="D93" s="19" t="s">
        <v>88</v>
      </c>
      <c r="E93" s="84">
        <v>400</v>
      </c>
      <c r="F93" s="73"/>
      <c r="G93" s="84">
        <v>400</v>
      </c>
      <c r="H93" s="73"/>
      <c r="I93" s="84">
        <v>300</v>
      </c>
      <c r="J93" s="73"/>
      <c r="K93" s="171">
        <v>600</v>
      </c>
      <c r="L93" s="172"/>
      <c r="M93" s="206">
        <f>151+158</f>
        <v>309</v>
      </c>
      <c r="N93" s="172"/>
      <c r="O93" s="211">
        <f t="shared" si="4"/>
        <v>0.515</v>
      </c>
      <c r="P93" s="70"/>
    </row>
    <row r="94" spans="1:16" ht="12.75">
      <c r="A94" s="17"/>
      <c r="B94" s="45"/>
      <c r="C94" s="45">
        <f t="shared" si="6"/>
        <v>3</v>
      </c>
      <c r="D94" s="19" t="s">
        <v>89</v>
      </c>
      <c r="E94" s="84">
        <v>100</v>
      </c>
      <c r="F94" s="73"/>
      <c r="G94" s="84">
        <v>100</v>
      </c>
      <c r="H94" s="73"/>
      <c r="I94" s="84">
        <v>100</v>
      </c>
      <c r="J94" s="73"/>
      <c r="K94" s="171">
        <v>200</v>
      </c>
      <c r="L94" s="172"/>
      <c r="M94" s="206">
        <f>24+31</f>
        <v>55</v>
      </c>
      <c r="N94" s="172"/>
      <c r="O94" s="211">
        <f t="shared" si="4"/>
        <v>0.275</v>
      </c>
      <c r="P94" s="70"/>
    </row>
    <row r="95" spans="1:16" ht="12.75">
      <c r="A95" s="17"/>
      <c r="B95" s="45"/>
      <c r="C95" s="45">
        <f t="shared" si="6"/>
        <v>4</v>
      </c>
      <c r="D95" s="19" t="s">
        <v>90</v>
      </c>
      <c r="E95" s="84">
        <v>360</v>
      </c>
      <c r="F95" s="73"/>
      <c r="G95" s="84">
        <v>360</v>
      </c>
      <c r="H95" s="73"/>
      <c r="I95" s="84">
        <v>300</v>
      </c>
      <c r="J95" s="73"/>
      <c r="K95" s="171">
        <v>450</v>
      </c>
      <c r="L95" s="172"/>
      <c r="M95" s="206">
        <f>2+1683-1060-8-24-281</f>
        <v>312</v>
      </c>
      <c r="N95" s="172"/>
      <c r="O95" s="211">
        <f t="shared" si="4"/>
        <v>0.6933333333333334</v>
      </c>
      <c r="P95" s="70"/>
    </row>
    <row r="96" spans="1:16" ht="12.75">
      <c r="A96" s="17"/>
      <c r="B96" s="45"/>
      <c r="C96" s="45">
        <f t="shared" si="6"/>
        <v>5</v>
      </c>
      <c r="D96" s="19" t="s">
        <v>137</v>
      </c>
      <c r="E96" s="84">
        <v>5290</v>
      </c>
      <c r="F96" s="73"/>
      <c r="G96" s="84">
        <v>5290</v>
      </c>
      <c r="H96" s="73"/>
      <c r="I96" s="84">
        <v>5290</v>
      </c>
      <c r="J96" s="73"/>
      <c r="K96" s="171">
        <v>3780</v>
      </c>
      <c r="L96" s="172"/>
      <c r="M96" s="206">
        <f>1815-42</f>
        <v>1773</v>
      </c>
      <c r="N96" s="172"/>
      <c r="O96" s="211">
        <f t="shared" si="4"/>
        <v>0.46904761904761905</v>
      </c>
      <c r="P96" s="70"/>
    </row>
    <row r="97" spans="1:16" ht="12.75">
      <c r="A97" s="17"/>
      <c r="B97" s="45"/>
      <c r="C97" s="45">
        <f t="shared" si="6"/>
        <v>6</v>
      </c>
      <c r="D97" s="19" t="s">
        <v>91</v>
      </c>
      <c r="E97" s="84">
        <v>1350</v>
      </c>
      <c r="F97" s="73"/>
      <c r="G97" s="84">
        <v>1450</v>
      </c>
      <c r="H97" s="73"/>
      <c r="I97" s="84">
        <v>1500</v>
      </c>
      <c r="J97" s="73"/>
      <c r="K97" s="171">
        <f>2030+156</f>
        <v>2186</v>
      </c>
      <c r="L97" s="172"/>
      <c r="M97" s="206">
        <f>42+14+1060+8</f>
        <v>1124</v>
      </c>
      <c r="N97" s="172"/>
      <c r="O97" s="211">
        <f t="shared" si="4"/>
        <v>0.5141811527904849</v>
      </c>
      <c r="P97" s="70"/>
    </row>
    <row r="98" spans="1:16" ht="12.75">
      <c r="A98" s="17"/>
      <c r="B98" s="45"/>
      <c r="C98" s="45">
        <f t="shared" si="6"/>
        <v>7</v>
      </c>
      <c r="D98" s="19" t="s">
        <v>92</v>
      </c>
      <c r="E98" s="84">
        <v>1535</v>
      </c>
      <c r="F98" s="73"/>
      <c r="G98" s="84">
        <v>1535</v>
      </c>
      <c r="H98" s="73"/>
      <c r="I98" s="84">
        <v>1535</v>
      </c>
      <c r="J98" s="73"/>
      <c r="K98" s="171">
        <v>1775</v>
      </c>
      <c r="L98" s="172"/>
      <c r="M98" s="206">
        <f>995-24</f>
        <v>971</v>
      </c>
      <c r="N98" s="172"/>
      <c r="O98" s="211">
        <f t="shared" si="4"/>
        <v>0.5470422535211268</v>
      </c>
      <c r="P98" s="70"/>
    </row>
    <row r="99" spans="1:16" ht="12.75">
      <c r="A99" s="17"/>
      <c r="B99" s="45"/>
      <c r="C99" s="45">
        <f t="shared" si="6"/>
        <v>8</v>
      </c>
      <c r="D99" s="19" t="s">
        <v>93</v>
      </c>
      <c r="E99" s="72">
        <v>542</v>
      </c>
      <c r="F99" s="73"/>
      <c r="G99" s="72">
        <v>542</v>
      </c>
      <c r="H99" s="73"/>
      <c r="I99" s="72">
        <v>542</v>
      </c>
      <c r="J99" s="73"/>
      <c r="K99" s="171">
        <v>550</v>
      </c>
      <c r="L99" s="172"/>
      <c r="M99" s="206">
        <f>164-4-52</f>
        <v>108</v>
      </c>
      <c r="N99" s="172"/>
      <c r="O99" s="211">
        <f t="shared" si="4"/>
        <v>0.19636363636363635</v>
      </c>
      <c r="P99" s="70"/>
    </row>
    <row r="100" spans="1:16" ht="12.75">
      <c r="A100" s="21"/>
      <c r="B100" s="46"/>
      <c r="C100" s="45">
        <f>+C99+1</f>
        <v>9</v>
      </c>
      <c r="D100" s="26" t="s">
        <v>16</v>
      </c>
      <c r="E100" s="96">
        <v>60</v>
      </c>
      <c r="F100" s="89"/>
      <c r="G100" s="96">
        <v>60</v>
      </c>
      <c r="H100" s="89"/>
      <c r="I100" s="96">
        <v>60</v>
      </c>
      <c r="J100" s="89"/>
      <c r="K100" s="176">
        <v>370</v>
      </c>
      <c r="L100" s="178"/>
      <c r="M100" s="187">
        <v>60</v>
      </c>
      <c r="N100" s="178"/>
      <c r="O100" s="211">
        <f t="shared" si="4"/>
        <v>0.16216216216216217</v>
      </c>
      <c r="P100" s="70"/>
    </row>
    <row r="101" spans="1:16" ht="12.75">
      <c r="A101" s="21"/>
      <c r="B101" s="46"/>
      <c r="C101" s="45">
        <f t="shared" si="6"/>
        <v>10</v>
      </c>
      <c r="D101" s="19" t="s">
        <v>147</v>
      </c>
      <c r="E101" s="85"/>
      <c r="F101" s="89"/>
      <c r="G101" s="85"/>
      <c r="H101" s="89"/>
      <c r="I101" s="85">
        <v>500</v>
      </c>
      <c r="J101" s="89"/>
      <c r="K101" s="176">
        <v>2080</v>
      </c>
      <c r="L101" s="178"/>
      <c r="M101" s="187">
        <v>1573</v>
      </c>
      <c r="N101" s="178"/>
      <c r="O101" s="211">
        <f t="shared" si="4"/>
        <v>0.75625</v>
      </c>
      <c r="P101" s="70"/>
    </row>
    <row r="102" spans="1:16" ht="12.75">
      <c r="A102" s="21"/>
      <c r="B102" s="46"/>
      <c r="C102" s="45">
        <f t="shared" si="6"/>
        <v>11</v>
      </c>
      <c r="D102" s="26" t="s">
        <v>146</v>
      </c>
      <c r="E102" s="85"/>
      <c r="F102" s="89"/>
      <c r="G102" s="85"/>
      <c r="H102" s="89"/>
      <c r="I102" s="85"/>
      <c r="J102" s="89"/>
      <c r="K102" s="176">
        <v>500</v>
      </c>
      <c r="L102" s="178"/>
      <c r="M102" s="187">
        <f>307+29+43</f>
        <v>379</v>
      </c>
      <c r="N102" s="178"/>
      <c r="O102" s="211">
        <f t="shared" si="4"/>
        <v>0.758</v>
      </c>
      <c r="P102" s="70"/>
    </row>
    <row r="103" spans="1:16" ht="12.75">
      <c r="A103" s="21"/>
      <c r="B103" s="46"/>
      <c r="C103" s="45">
        <f t="shared" si="6"/>
        <v>12</v>
      </c>
      <c r="D103" s="26" t="s">
        <v>153</v>
      </c>
      <c r="E103" s="96"/>
      <c r="F103" s="89"/>
      <c r="G103" s="96"/>
      <c r="H103" s="89"/>
      <c r="I103" s="96"/>
      <c r="J103" s="89"/>
      <c r="K103" s="176">
        <v>445</v>
      </c>
      <c r="L103" s="178"/>
      <c r="M103" s="187">
        <v>0</v>
      </c>
      <c r="N103" s="178"/>
      <c r="O103" s="211">
        <f t="shared" si="4"/>
        <v>0</v>
      </c>
      <c r="P103" s="70"/>
    </row>
    <row r="104" spans="1:15" ht="12.75">
      <c r="A104" s="21"/>
      <c r="B104" s="46"/>
      <c r="C104" s="45">
        <f t="shared" si="6"/>
        <v>13</v>
      </c>
      <c r="D104" s="26" t="s">
        <v>125</v>
      </c>
      <c r="E104" s="96"/>
      <c r="F104" s="89"/>
      <c r="G104" s="96"/>
      <c r="H104" s="89"/>
      <c r="I104" s="96"/>
      <c r="J104" s="89"/>
      <c r="K104" s="176">
        <v>281</v>
      </c>
      <c r="L104" s="178"/>
      <c r="M104" s="187">
        <v>281</v>
      </c>
      <c r="N104" s="178"/>
      <c r="O104" s="211">
        <f t="shared" si="4"/>
        <v>1</v>
      </c>
    </row>
    <row r="105" spans="1:17" ht="12.75">
      <c r="A105" s="21"/>
      <c r="B105" s="46"/>
      <c r="C105" s="45">
        <f t="shared" si="6"/>
        <v>14</v>
      </c>
      <c r="D105" s="26" t="s">
        <v>152</v>
      </c>
      <c r="E105" s="96"/>
      <c r="F105" s="89"/>
      <c r="G105" s="96"/>
      <c r="H105" s="89"/>
      <c r="I105" s="96"/>
      <c r="J105" s="89"/>
      <c r="K105" s="176">
        <v>250</v>
      </c>
      <c r="L105" s="178"/>
      <c r="M105" s="187">
        <v>24</v>
      </c>
      <c r="N105" s="178"/>
      <c r="O105" s="211">
        <f t="shared" si="4"/>
        <v>0.096</v>
      </c>
      <c r="P105" s="131">
        <f>SUM(M101:M105)</f>
        <v>2257</v>
      </c>
      <c r="Q105" s="128" t="s">
        <v>127</v>
      </c>
    </row>
    <row r="106" spans="1:17" ht="12.75">
      <c r="A106" s="21"/>
      <c r="B106" s="46"/>
      <c r="C106" s="45">
        <f t="shared" si="6"/>
        <v>15</v>
      </c>
      <c r="D106" s="26" t="s">
        <v>157</v>
      </c>
      <c r="E106" s="96"/>
      <c r="F106" s="89"/>
      <c r="G106" s="96"/>
      <c r="H106" s="89"/>
      <c r="I106" s="96"/>
      <c r="J106" s="89"/>
      <c r="K106" s="176">
        <v>150</v>
      </c>
      <c r="L106" s="178"/>
      <c r="M106" s="187">
        <v>6</v>
      </c>
      <c r="N106" s="178"/>
      <c r="O106" s="211">
        <f t="shared" si="4"/>
        <v>0.04</v>
      </c>
      <c r="P106" s="131"/>
      <c r="Q106" s="128"/>
    </row>
    <row r="107" spans="1:16" ht="13.5" thickBot="1">
      <c r="A107" s="29"/>
      <c r="B107" s="48"/>
      <c r="C107" s="48"/>
      <c r="D107" s="31" t="s">
        <v>23</v>
      </c>
      <c r="E107" s="76"/>
      <c r="F107" s="83">
        <f>SUM(E92:E100)</f>
        <v>9787</v>
      </c>
      <c r="G107" s="76"/>
      <c r="H107" s="83">
        <f>SUM(G92:G100)</f>
        <v>9887</v>
      </c>
      <c r="I107" s="76"/>
      <c r="J107" s="83">
        <f>SUM(I92:I100)</f>
        <v>9752</v>
      </c>
      <c r="K107" s="173"/>
      <c r="L107" s="194">
        <f>SUM(K92:K106)</f>
        <v>13722</v>
      </c>
      <c r="M107" s="219"/>
      <c r="N107" s="175">
        <f>SUM(M92:M106)</f>
        <v>7017</v>
      </c>
      <c r="O107" s="212">
        <f>+N107/L107</f>
        <v>0.5113686051595977</v>
      </c>
      <c r="P107" s="80"/>
    </row>
    <row r="108" spans="1:16" ht="12.75">
      <c r="A108" s="11" t="s">
        <v>52</v>
      </c>
      <c r="B108" s="43" t="s">
        <v>94</v>
      </c>
      <c r="C108" s="43">
        <v>1</v>
      </c>
      <c r="D108" s="13" t="s">
        <v>95</v>
      </c>
      <c r="E108" s="88">
        <v>700</v>
      </c>
      <c r="F108" s="69"/>
      <c r="G108" s="88">
        <v>560</v>
      </c>
      <c r="H108" s="69"/>
      <c r="I108" s="88">
        <v>620</v>
      </c>
      <c r="J108" s="69"/>
      <c r="K108" s="169">
        <v>715</v>
      </c>
      <c r="L108" s="170"/>
      <c r="M108" s="208">
        <v>269</v>
      </c>
      <c r="N108" s="170"/>
      <c r="O108" s="211">
        <f t="shared" si="4"/>
        <v>0.37622377622377623</v>
      </c>
      <c r="P108" s="70"/>
    </row>
    <row r="109" spans="1:16" ht="12.75">
      <c r="A109" s="35"/>
      <c r="B109" s="44"/>
      <c r="C109" s="45">
        <f aca="true" t="shared" si="7" ref="C109:C117">+C108+1</f>
        <v>2</v>
      </c>
      <c r="D109" s="24" t="s">
        <v>96</v>
      </c>
      <c r="E109" s="94">
        <v>90</v>
      </c>
      <c r="F109" s="71"/>
      <c r="G109" s="94">
        <v>90</v>
      </c>
      <c r="H109" s="71"/>
      <c r="I109" s="94">
        <v>90</v>
      </c>
      <c r="J109" s="71"/>
      <c r="K109" s="179">
        <v>90</v>
      </c>
      <c r="L109" s="180"/>
      <c r="M109" s="220">
        <v>45</v>
      </c>
      <c r="N109" s="180"/>
      <c r="O109" s="211">
        <f t="shared" si="4"/>
        <v>0.5</v>
      </c>
      <c r="P109" s="70"/>
    </row>
    <row r="110" spans="1:16" ht="12.75">
      <c r="A110" s="35"/>
      <c r="B110" s="44"/>
      <c r="C110" s="45">
        <f t="shared" si="7"/>
        <v>3</v>
      </c>
      <c r="D110" s="19" t="s">
        <v>163</v>
      </c>
      <c r="E110" s="72">
        <v>900</v>
      </c>
      <c r="F110" s="71"/>
      <c r="G110" s="72">
        <v>952</v>
      </c>
      <c r="H110" s="71"/>
      <c r="I110" s="72">
        <v>1300</v>
      </c>
      <c r="J110" s="71"/>
      <c r="K110" s="171">
        <v>1100</v>
      </c>
      <c r="L110" s="180"/>
      <c r="M110" s="206">
        <v>353</v>
      </c>
      <c r="N110" s="180"/>
      <c r="O110" s="211">
        <f t="shared" si="4"/>
        <v>0.3209090909090909</v>
      </c>
      <c r="P110" s="70"/>
    </row>
    <row r="111" spans="1:17" ht="12.75">
      <c r="A111" s="17"/>
      <c r="B111" s="45"/>
      <c r="C111" s="45">
        <f t="shared" si="7"/>
        <v>4</v>
      </c>
      <c r="D111" s="19" t="s">
        <v>97</v>
      </c>
      <c r="E111" s="85">
        <f>-10824+1000+325</f>
        <v>-9499</v>
      </c>
      <c r="F111" s="73"/>
      <c r="G111" s="85">
        <f>-10824+570+325+2871-212</f>
        <v>-7270</v>
      </c>
      <c r="H111" s="73"/>
      <c r="I111" s="85">
        <f>-10824+570+325+2911-193-97-35-384</f>
        <v>-7727</v>
      </c>
      <c r="J111" s="73"/>
      <c r="K111" s="176">
        <f>1700-400+800+280+60</f>
        <v>2440</v>
      </c>
      <c r="L111" s="172"/>
      <c r="M111" s="187">
        <v>1891</v>
      </c>
      <c r="N111" s="172"/>
      <c r="O111" s="211">
        <f t="shared" si="4"/>
        <v>0.775</v>
      </c>
      <c r="P111" s="97"/>
      <c r="Q111" s="97"/>
    </row>
    <row r="112" spans="1:16" ht="12.75">
      <c r="A112" s="21"/>
      <c r="B112" s="46"/>
      <c r="C112" s="45">
        <f t="shared" si="7"/>
        <v>5</v>
      </c>
      <c r="D112" s="19" t="s">
        <v>98</v>
      </c>
      <c r="E112" s="96">
        <v>124</v>
      </c>
      <c r="F112" s="89"/>
      <c r="G112" s="96">
        <v>124</v>
      </c>
      <c r="H112" s="89"/>
      <c r="I112" s="96">
        <v>124</v>
      </c>
      <c r="J112" s="89"/>
      <c r="K112" s="176">
        <v>125</v>
      </c>
      <c r="L112" s="178"/>
      <c r="M112" s="187">
        <v>125</v>
      </c>
      <c r="N112" s="178"/>
      <c r="O112" s="211">
        <f t="shared" si="4"/>
        <v>1</v>
      </c>
      <c r="P112" s="70"/>
    </row>
    <row r="113" spans="1:16" ht="12.75">
      <c r="A113" s="21"/>
      <c r="B113" s="46"/>
      <c r="C113" s="45">
        <f t="shared" si="7"/>
        <v>6</v>
      </c>
      <c r="D113" s="19" t="s">
        <v>123</v>
      </c>
      <c r="E113" s="96">
        <v>482</v>
      </c>
      <c r="F113" s="89"/>
      <c r="G113" s="96">
        <v>482</v>
      </c>
      <c r="H113" s="89"/>
      <c r="I113" s="96">
        <v>497</v>
      </c>
      <c r="J113" s="89"/>
      <c r="K113" s="176">
        <v>27</v>
      </c>
      <c r="L113" s="178"/>
      <c r="M113" s="187">
        <v>57</v>
      </c>
      <c r="N113" s="178"/>
      <c r="O113" s="211">
        <f t="shared" si="4"/>
        <v>2.111111111111111</v>
      </c>
      <c r="P113" s="70"/>
    </row>
    <row r="114" spans="1:16" ht="12.75">
      <c r="A114" s="21"/>
      <c r="B114" s="46"/>
      <c r="C114" s="45">
        <f t="shared" si="7"/>
        <v>7</v>
      </c>
      <c r="D114" s="19" t="s">
        <v>99</v>
      </c>
      <c r="E114" s="96">
        <v>89</v>
      </c>
      <c r="F114" s="89"/>
      <c r="G114" s="96">
        <v>89</v>
      </c>
      <c r="H114" s="89"/>
      <c r="I114" s="96">
        <v>89</v>
      </c>
      <c r="J114" s="89"/>
      <c r="K114" s="176">
        <v>112</v>
      </c>
      <c r="L114" s="178"/>
      <c r="M114" s="187">
        <v>0</v>
      </c>
      <c r="N114" s="178"/>
      <c r="O114" s="211">
        <f t="shared" si="4"/>
        <v>0</v>
      </c>
      <c r="P114" s="70"/>
    </row>
    <row r="115" spans="1:16" ht="12.75">
      <c r="A115" s="21"/>
      <c r="B115" s="46"/>
      <c r="C115" s="45">
        <f t="shared" si="7"/>
        <v>8</v>
      </c>
      <c r="D115" s="19" t="s">
        <v>100</v>
      </c>
      <c r="E115" s="96">
        <v>0</v>
      </c>
      <c r="F115" s="89"/>
      <c r="G115" s="96">
        <v>100</v>
      </c>
      <c r="H115" s="89"/>
      <c r="I115" s="96">
        <v>100</v>
      </c>
      <c r="J115" s="89"/>
      <c r="K115" s="176">
        <v>80</v>
      </c>
      <c r="L115" s="178"/>
      <c r="M115" s="187">
        <v>143.9</v>
      </c>
      <c r="N115" s="178"/>
      <c r="O115" s="211">
        <f t="shared" si="4"/>
        <v>1.79875</v>
      </c>
      <c r="P115" s="70"/>
    </row>
    <row r="116" spans="1:16" ht="12.75">
      <c r="A116" s="21"/>
      <c r="B116" s="46"/>
      <c r="C116" s="45">
        <f t="shared" si="7"/>
        <v>9</v>
      </c>
      <c r="D116" s="19" t="s">
        <v>135</v>
      </c>
      <c r="E116" s="96"/>
      <c r="F116" s="89"/>
      <c r="G116" s="96">
        <v>251</v>
      </c>
      <c r="H116" s="89"/>
      <c r="I116" s="96">
        <v>251</v>
      </c>
      <c r="J116" s="89"/>
      <c r="K116" s="176">
        <f>215+70</f>
        <v>285</v>
      </c>
      <c r="L116" s="172"/>
      <c r="M116" s="187">
        <f>33+203</f>
        <v>236</v>
      </c>
      <c r="N116" s="172"/>
      <c r="O116" s="211">
        <f t="shared" si="4"/>
        <v>0.8280701754385965</v>
      </c>
      <c r="P116" s="70"/>
    </row>
    <row r="117" spans="1:16" ht="12.75">
      <c r="A117" s="21"/>
      <c r="B117" s="46"/>
      <c r="C117" s="45">
        <f t="shared" si="7"/>
        <v>10</v>
      </c>
      <c r="D117" s="19" t="s">
        <v>101</v>
      </c>
      <c r="E117" s="85">
        <v>704</v>
      </c>
      <c r="F117" s="89"/>
      <c r="G117" s="85">
        <v>373</v>
      </c>
      <c r="H117" s="89"/>
      <c r="I117" s="85">
        <v>359</v>
      </c>
      <c r="J117" s="89"/>
      <c r="K117" s="176">
        <v>502.5</v>
      </c>
      <c r="L117" s="178"/>
      <c r="M117" s="187">
        <v>166.6</v>
      </c>
      <c r="N117" s="178"/>
      <c r="O117" s="211">
        <f t="shared" si="4"/>
        <v>0.3315422885572139</v>
      </c>
      <c r="P117" s="70"/>
    </row>
    <row r="118" spans="1:16" ht="13.5" thickBot="1">
      <c r="A118" s="29"/>
      <c r="B118" s="48"/>
      <c r="C118" s="48"/>
      <c r="D118" s="31" t="s">
        <v>23</v>
      </c>
      <c r="E118" s="76"/>
      <c r="F118" s="83">
        <f>SUM(E108:E117)</f>
        <v>-6410</v>
      </c>
      <c r="G118" s="76"/>
      <c r="H118" s="83">
        <f>SUM(G108:G117)</f>
        <v>-4249</v>
      </c>
      <c r="I118" s="76"/>
      <c r="J118" s="83">
        <f>SUM(I108:I117)</f>
        <v>-4297</v>
      </c>
      <c r="K118" s="173"/>
      <c r="L118" s="194">
        <f>SUM(K108:K117)</f>
        <v>5476.5</v>
      </c>
      <c r="M118" s="219"/>
      <c r="N118" s="175">
        <f>SUM(M108:M117)</f>
        <v>3286.5</v>
      </c>
      <c r="O118" s="212">
        <f>+N118/L118</f>
        <v>0.6001095590249247</v>
      </c>
      <c r="P118" s="80"/>
    </row>
    <row r="119" spans="1:16" ht="13.5" thickBot="1">
      <c r="A119" s="49" t="s">
        <v>54</v>
      </c>
      <c r="B119" s="50" t="s">
        <v>102</v>
      </c>
      <c r="C119" s="50"/>
      <c r="D119" s="51" t="s">
        <v>103</v>
      </c>
      <c r="E119" s="55">
        <v>0</v>
      </c>
      <c r="F119" s="98"/>
      <c r="G119" s="55">
        <v>0</v>
      </c>
      <c r="H119" s="98"/>
      <c r="I119" s="55">
        <v>0</v>
      </c>
      <c r="J119" s="98"/>
      <c r="K119" s="167">
        <v>900</v>
      </c>
      <c r="L119" s="195">
        <f>SUM(K119)</f>
        <v>900</v>
      </c>
      <c r="M119" s="209">
        <v>395</v>
      </c>
      <c r="N119" s="152">
        <f>SUM(M119)</f>
        <v>395</v>
      </c>
      <c r="O119" s="212">
        <f aca="true" t="shared" si="8" ref="O119:O125">+N119/L119</f>
        <v>0.4388888888888889</v>
      </c>
      <c r="P119" s="70"/>
    </row>
    <row r="120" spans="1:16" ht="13.5" thickBot="1">
      <c r="A120" s="100" t="s">
        <v>56</v>
      </c>
      <c r="B120" s="101" t="s">
        <v>128</v>
      </c>
      <c r="C120" s="101"/>
      <c r="D120" s="90"/>
      <c r="E120" s="102">
        <v>900</v>
      </c>
      <c r="F120" s="103">
        <f>SUM(E120)</f>
        <v>900</v>
      </c>
      <c r="G120" s="102">
        <v>1250</v>
      </c>
      <c r="H120" s="103">
        <f>SUM(G120)</f>
        <v>1250</v>
      </c>
      <c r="I120" s="102">
        <v>1250</v>
      </c>
      <c r="J120" s="103">
        <f>SUM(I120)</f>
        <v>1250</v>
      </c>
      <c r="K120" s="181">
        <v>1100</v>
      </c>
      <c r="L120" s="196">
        <f>SUM(K120)</f>
        <v>1100</v>
      </c>
      <c r="M120" s="205">
        <v>1195</v>
      </c>
      <c r="N120" s="182">
        <f>SUM(M120)</f>
        <v>1195</v>
      </c>
      <c r="O120" s="212">
        <f t="shared" si="8"/>
        <v>1.0863636363636364</v>
      </c>
      <c r="P120" s="70"/>
    </row>
    <row r="121" spans="1:16" ht="13.5" thickBot="1">
      <c r="A121" s="104" t="s">
        <v>62</v>
      </c>
      <c r="B121" s="50" t="s">
        <v>63</v>
      </c>
      <c r="C121" s="87"/>
      <c r="D121" s="105"/>
      <c r="E121" s="106">
        <v>610</v>
      </c>
      <c r="F121" s="99">
        <f>SUM(E121)</f>
        <v>610</v>
      </c>
      <c r="G121" s="106">
        <v>610</v>
      </c>
      <c r="H121" s="99">
        <f>SUM(G121)</f>
        <v>610</v>
      </c>
      <c r="I121" s="106">
        <v>610</v>
      </c>
      <c r="J121" s="99">
        <f>SUM(I121)</f>
        <v>610</v>
      </c>
      <c r="K121" s="183">
        <v>630</v>
      </c>
      <c r="L121" s="195">
        <f>SUM(K121)</f>
        <v>630</v>
      </c>
      <c r="M121" s="221">
        <f>24873.5-313+363</f>
        <v>24923.5</v>
      </c>
      <c r="N121" s="152">
        <f>SUM(M121)</f>
        <v>24923.5</v>
      </c>
      <c r="O121" s="212"/>
      <c r="P121" s="80"/>
    </row>
    <row r="122" spans="1:16" ht="12.75">
      <c r="A122" s="56"/>
      <c r="B122" s="43" t="s">
        <v>104</v>
      </c>
      <c r="C122" s="43"/>
      <c r="D122" s="13"/>
      <c r="E122" s="88"/>
      <c r="F122" s="107">
        <f>SUM(F64:F121)</f>
        <v>67691</v>
      </c>
      <c r="G122" s="88"/>
      <c r="H122" s="107">
        <f>SUM(H64:H121)</f>
        <v>67324</v>
      </c>
      <c r="I122" s="88"/>
      <c r="J122" s="107">
        <f>SUM(J64:J121)</f>
        <v>68386</v>
      </c>
      <c r="K122" s="68"/>
      <c r="L122" s="197">
        <f>SUM(L64:L121)</f>
        <v>91149</v>
      </c>
      <c r="M122" s="222"/>
      <c r="N122" s="148">
        <f>SUM(N64:N121)</f>
        <v>70041</v>
      </c>
      <c r="O122" s="212">
        <f t="shared" si="8"/>
        <v>0.7684231313563505</v>
      </c>
      <c r="P122" s="108"/>
    </row>
    <row r="123" spans="1:17" ht="13.5" thickBot="1">
      <c r="A123" s="59"/>
      <c r="B123" s="48" t="s">
        <v>105</v>
      </c>
      <c r="C123" s="48"/>
      <c r="D123" s="31"/>
      <c r="E123" s="76"/>
      <c r="F123" s="109">
        <f>+F122-610</f>
        <v>67081</v>
      </c>
      <c r="G123" s="76"/>
      <c r="H123" s="109">
        <f>+H122-610</f>
        <v>66714</v>
      </c>
      <c r="I123" s="76"/>
      <c r="J123" s="109">
        <f>+J122-610</f>
        <v>67776</v>
      </c>
      <c r="K123" s="76"/>
      <c r="L123" s="198">
        <f>+L122-630</f>
        <v>90519</v>
      </c>
      <c r="M123" s="223"/>
      <c r="N123" s="149">
        <f>+N122-24873.5</f>
        <v>45167.5</v>
      </c>
      <c r="O123" s="212">
        <f t="shared" si="8"/>
        <v>0.4989836387940653</v>
      </c>
      <c r="P123" s="27">
        <f>+N123-N91-P105</f>
        <v>28118.5</v>
      </c>
      <c r="Q123" t="s">
        <v>106</v>
      </c>
    </row>
    <row r="124" spans="1:17" ht="13.5" thickBot="1">
      <c r="A124" s="110"/>
      <c r="B124" s="110"/>
      <c r="C124" s="110"/>
      <c r="D124" s="110"/>
      <c r="E124" s="97"/>
      <c r="F124" s="111"/>
      <c r="G124" s="97"/>
      <c r="H124" s="111"/>
      <c r="I124" s="97"/>
      <c r="J124" s="111"/>
      <c r="K124" s="97"/>
      <c r="L124" s="111"/>
      <c r="M124" s="70"/>
      <c r="N124" s="108"/>
      <c r="O124" s="212"/>
      <c r="P124" s="27">
        <f>+P53-P123</f>
        <v>13100.800000000003</v>
      </c>
      <c r="Q124" t="s">
        <v>107</v>
      </c>
    </row>
    <row r="125" spans="1:17" ht="13.5" thickBot="1">
      <c r="A125" s="112"/>
      <c r="B125" s="113" t="s">
        <v>108</v>
      </c>
      <c r="C125" s="129"/>
      <c r="D125" s="130"/>
      <c r="E125" s="99"/>
      <c r="F125" s="99">
        <f>+F53-F123</f>
        <v>-5012.699999999997</v>
      </c>
      <c r="G125" s="99"/>
      <c r="H125" s="99">
        <f>+H53-H123</f>
        <v>-4052.699999999997</v>
      </c>
      <c r="I125" s="99"/>
      <c r="J125" s="99">
        <f>+J53-J123</f>
        <v>-3825.699999999997</v>
      </c>
      <c r="K125" s="99"/>
      <c r="L125" s="195">
        <f>+L53-L123</f>
        <v>6534</v>
      </c>
      <c r="M125" s="224"/>
      <c r="N125" s="152">
        <f>+N53-N123</f>
        <v>-2407.5</v>
      </c>
      <c r="O125" s="212">
        <f t="shared" si="8"/>
        <v>-0.36845730027548207</v>
      </c>
      <c r="P125" s="114">
        <f>+P124/P53</f>
        <v>0.3178316953465974</v>
      </c>
      <c r="Q125" t="s">
        <v>109</v>
      </c>
    </row>
    <row r="126" spans="1:16" ht="12.75">
      <c r="A126" s="112"/>
      <c r="B126" s="132" t="s">
        <v>110</v>
      </c>
      <c r="C126" s="145" t="s">
        <v>136</v>
      </c>
      <c r="D126" s="139"/>
      <c r="E126" s="140"/>
      <c r="F126" s="141"/>
      <c r="G126" s="140"/>
      <c r="H126" s="141"/>
      <c r="I126" s="140"/>
      <c r="J126" s="140"/>
      <c r="K126" s="184">
        <v>10600</v>
      </c>
      <c r="L126" s="199"/>
      <c r="M126" s="225">
        <v>10600</v>
      </c>
      <c r="N126" s="153"/>
      <c r="O126" s="211">
        <f t="shared" si="4"/>
        <v>1</v>
      </c>
      <c r="P126" s="114"/>
    </row>
    <row r="127" spans="2:22" ht="12.75">
      <c r="B127" s="133"/>
      <c r="C127" s="146" t="s">
        <v>111</v>
      </c>
      <c r="D127" s="142"/>
      <c r="E127" s="143">
        <f>-606-224-3000-1875-2873</f>
        <v>-8578</v>
      </c>
      <c r="F127" s="144"/>
      <c r="G127" s="143">
        <f>-606-224-3000-1875-2873-130</f>
        <v>-8708</v>
      </c>
      <c r="H127" s="144"/>
      <c r="I127" s="143">
        <f>-606-224-3000-1875-2873-143</f>
        <v>-8721</v>
      </c>
      <c r="J127" s="144"/>
      <c r="K127" s="185">
        <f>-3125-2500-225-184-1500-10600</f>
        <v>-18134</v>
      </c>
      <c r="L127" s="200"/>
      <c r="M127" s="226">
        <v>-3014.4</v>
      </c>
      <c r="N127" s="154"/>
      <c r="O127" s="211">
        <f t="shared" si="4"/>
        <v>0.16622918275063417</v>
      </c>
      <c r="P127" s="80"/>
      <c r="V127" s="147"/>
    </row>
    <row r="128" spans="2:22" ht="12.75">
      <c r="B128" s="133"/>
      <c r="C128" s="146" t="s">
        <v>162</v>
      </c>
      <c r="D128" s="142"/>
      <c r="E128" s="143"/>
      <c r="F128" s="144"/>
      <c r="G128" s="143"/>
      <c r="H128" s="144"/>
      <c r="I128" s="143"/>
      <c r="J128" s="144"/>
      <c r="K128" s="185"/>
      <c r="L128" s="200"/>
      <c r="M128" s="226">
        <v>-269.3</v>
      </c>
      <c r="N128" s="154"/>
      <c r="O128" s="211"/>
      <c r="P128" s="80"/>
      <c r="V128" s="147"/>
    </row>
    <row r="129" spans="2:16" ht="13.5" thickBot="1">
      <c r="B129" s="118" t="s">
        <v>112</v>
      </c>
      <c r="C129" s="134" t="s">
        <v>113</v>
      </c>
      <c r="D129" s="135"/>
      <c r="E129" s="136">
        <v>-27</v>
      </c>
      <c r="F129" s="137">
        <f>SUM(E127:E129)</f>
        <v>-8605</v>
      </c>
      <c r="G129" s="136">
        <v>0</v>
      </c>
      <c r="H129" s="137">
        <f>SUM(G127:G129)</f>
        <v>-8708</v>
      </c>
      <c r="I129" s="136">
        <v>400</v>
      </c>
      <c r="J129" s="138">
        <f>SUM(I127:I129)</f>
        <v>-8321</v>
      </c>
      <c r="K129" s="201">
        <v>1000</v>
      </c>
      <c r="L129" s="202">
        <f>SUM(K126:K129)</f>
        <v>-6534</v>
      </c>
      <c r="M129" s="204">
        <v>-4908.8</v>
      </c>
      <c r="N129" s="155">
        <f>SUM(M126:M129)</f>
        <v>2407.5</v>
      </c>
      <c r="O129" s="212">
        <f>+N129/L129</f>
        <v>-0.36845730027548207</v>
      </c>
      <c r="P129" s="203">
        <f>SUM(N125:N129)</f>
        <v>0</v>
      </c>
    </row>
    <row r="130" spans="2:16" ht="12.75">
      <c r="B130" s="119" t="s">
        <v>114</v>
      </c>
      <c r="C130" s="44"/>
      <c r="D130" s="44"/>
      <c r="E130" s="120">
        <v>3802</v>
      </c>
      <c r="F130" s="95" t="s">
        <v>115</v>
      </c>
      <c r="G130" s="120">
        <v>3802</v>
      </c>
      <c r="H130" s="95" t="s">
        <v>115</v>
      </c>
      <c r="I130" s="120">
        <v>3802</v>
      </c>
      <c r="J130" s="95" t="s">
        <v>115</v>
      </c>
      <c r="K130" s="120">
        <v>9198</v>
      </c>
      <c r="L130" s="95" t="s">
        <v>115</v>
      </c>
      <c r="M130" s="227">
        <v>9198</v>
      </c>
      <c r="N130" s="115" t="s">
        <v>115</v>
      </c>
      <c r="O130" s="211">
        <f t="shared" si="4"/>
        <v>1</v>
      </c>
      <c r="P130" s="80"/>
    </row>
    <row r="131" spans="2:16" ht="12.75">
      <c r="B131" s="117" t="s">
        <v>116</v>
      </c>
      <c r="C131" s="45"/>
      <c r="D131" s="45"/>
      <c r="E131" s="121">
        <f>+E129-E134</f>
        <v>-27</v>
      </c>
      <c r="F131" s="81" t="s">
        <v>115</v>
      </c>
      <c r="G131" s="121">
        <f>+G129-G134</f>
        <v>0</v>
      </c>
      <c r="H131" s="81" t="s">
        <v>115</v>
      </c>
      <c r="I131" s="121">
        <f>+I129-I134</f>
        <v>400</v>
      </c>
      <c r="J131" s="81" t="s">
        <v>115</v>
      </c>
      <c r="K131" s="121">
        <f>+K129-K134</f>
        <v>1000</v>
      </c>
      <c r="L131" s="81" t="s">
        <v>115</v>
      </c>
      <c r="M131" s="210">
        <f>+M129-M134</f>
        <v>-4958.8</v>
      </c>
      <c r="N131" s="122" t="s">
        <v>115</v>
      </c>
      <c r="O131" s="211">
        <f>+M131/K131</f>
        <v>-4.9588</v>
      </c>
      <c r="P131" s="80"/>
    </row>
    <row r="132" spans="2:16" ht="13.5" thickBot="1">
      <c r="B132" s="59" t="s">
        <v>117</v>
      </c>
      <c r="C132" s="48"/>
      <c r="D132" s="48"/>
      <c r="E132" s="123">
        <f>+E130-E131</f>
        <v>3829</v>
      </c>
      <c r="F132" s="83" t="s">
        <v>115</v>
      </c>
      <c r="G132" s="123">
        <f>+G130-G131</f>
        <v>3802</v>
      </c>
      <c r="H132" s="83" t="s">
        <v>115</v>
      </c>
      <c r="I132" s="123">
        <f>+I130-I131</f>
        <v>3402</v>
      </c>
      <c r="J132" s="83" t="s">
        <v>115</v>
      </c>
      <c r="K132" s="123">
        <f>+K130-K131</f>
        <v>8198</v>
      </c>
      <c r="L132" s="83" t="s">
        <v>115</v>
      </c>
      <c r="M132" s="228">
        <f>+M130-M131</f>
        <v>14156.8</v>
      </c>
      <c r="N132" s="92" t="s">
        <v>115</v>
      </c>
      <c r="O132" s="211">
        <f>+M132/K132</f>
        <v>1.72686020980727</v>
      </c>
      <c r="P132" s="80"/>
    </row>
    <row r="133" spans="2:16" ht="12.75">
      <c r="B133" s="56" t="s">
        <v>118</v>
      </c>
      <c r="C133" s="43"/>
      <c r="D133" s="43"/>
      <c r="E133" s="124">
        <v>198</v>
      </c>
      <c r="F133" s="69" t="s">
        <v>115</v>
      </c>
      <c r="G133" s="124">
        <v>198</v>
      </c>
      <c r="H133" s="69" t="s">
        <v>115</v>
      </c>
      <c r="I133" s="124">
        <v>198</v>
      </c>
      <c r="J133" s="69" t="s">
        <v>115</v>
      </c>
      <c r="K133" s="124">
        <v>300</v>
      </c>
      <c r="L133" s="69" t="s">
        <v>115</v>
      </c>
      <c r="M133" s="229">
        <v>300</v>
      </c>
      <c r="N133" s="125" t="s">
        <v>115</v>
      </c>
      <c r="O133" s="211">
        <f>+M133/K133</f>
        <v>1</v>
      </c>
      <c r="P133" s="70"/>
    </row>
    <row r="134" spans="2:15" ht="12.75">
      <c r="B134" s="117" t="s">
        <v>119</v>
      </c>
      <c r="C134" s="45"/>
      <c r="D134" s="45"/>
      <c r="E134" s="121">
        <f>E121-E51</f>
        <v>0</v>
      </c>
      <c r="F134" s="73" t="s">
        <v>115</v>
      </c>
      <c r="G134" s="121">
        <f>G121-G51</f>
        <v>0</v>
      </c>
      <c r="H134" s="73" t="s">
        <v>115</v>
      </c>
      <c r="I134" s="121">
        <f>I121-I51</f>
        <v>0</v>
      </c>
      <c r="J134" s="73" t="s">
        <v>115</v>
      </c>
      <c r="K134" s="121">
        <f>K121-K51</f>
        <v>0</v>
      </c>
      <c r="L134" s="73" t="s">
        <v>115</v>
      </c>
      <c r="M134" s="210">
        <f>M121-M51</f>
        <v>50</v>
      </c>
      <c r="N134" s="126" t="s">
        <v>115</v>
      </c>
      <c r="O134" s="211"/>
    </row>
    <row r="135" spans="2:16" ht="13.5" thickBot="1">
      <c r="B135" s="59" t="s">
        <v>120</v>
      </c>
      <c r="C135" s="48"/>
      <c r="D135" s="48"/>
      <c r="E135" s="123">
        <f>+E133-E134</f>
        <v>198</v>
      </c>
      <c r="F135" s="91" t="s">
        <v>115</v>
      </c>
      <c r="G135" s="123">
        <f>+G133-G134</f>
        <v>198</v>
      </c>
      <c r="H135" s="91" t="s">
        <v>115</v>
      </c>
      <c r="I135" s="123">
        <f>+I133-I134</f>
        <v>198</v>
      </c>
      <c r="J135" s="91" t="s">
        <v>115</v>
      </c>
      <c r="K135" s="123">
        <f>+K133-K134</f>
        <v>300</v>
      </c>
      <c r="L135" s="91" t="s">
        <v>115</v>
      </c>
      <c r="M135" s="228">
        <f>+M133-M134</f>
        <v>250</v>
      </c>
      <c r="N135" s="127" t="s">
        <v>115</v>
      </c>
      <c r="O135" s="211">
        <f>+M135/K135</f>
        <v>0.8333333333333334</v>
      </c>
      <c r="P135" s="70"/>
    </row>
    <row r="137" ht="12.75">
      <c r="B137" s="110"/>
    </row>
    <row r="627" ht="12.75">
      <c r="J627" s="128" t="s">
        <v>126</v>
      </c>
    </row>
  </sheetData>
  <sheetProtection/>
  <mergeCells count="10">
    <mergeCell ref="K1:L1"/>
    <mergeCell ref="K54:L54"/>
    <mergeCell ref="M1:N1"/>
    <mergeCell ref="M54:N54"/>
    <mergeCell ref="E54:F54"/>
    <mergeCell ref="G54:H54"/>
    <mergeCell ref="I54:J54"/>
    <mergeCell ref="E1:F1"/>
    <mergeCell ref="G1:H1"/>
    <mergeCell ref="I1:J1"/>
  </mergeCells>
  <printOptions/>
  <pageMargins left="0.95" right="0.984251968503937" top="0.63" bottom="0.83" header="0.3937007874015748" footer="0.5118110236220472"/>
  <pageSetup horizontalDpi="600" verticalDpi="600" orientation="portrait" paperSize="9" scale="75" r:id="rId1"/>
  <headerFooter alignWithMargins="0">
    <oddHeader>&amp;C&amp;"Arial,Tučné"&amp;14Výsledek plnění rozpočtu města Blovice za 1.pol.2014</oddHeader>
    <oddFooter>&amp;Lsestavil: Ing. Hodek
</oddFooter>
  </headerFooter>
  <rowBreaks count="2" manualBreakCount="2">
    <brk id="53" max="255" man="1"/>
    <brk id="1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4.28125" style="237" customWidth="1"/>
    <col min="2" max="2" width="17.00390625" style="237" customWidth="1"/>
    <col min="3" max="10" width="8.8515625" style="237" customWidth="1"/>
    <col min="11" max="11" width="6.7109375" style="237" customWidth="1"/>
    <col min="12" max="12" width="1.7109375" style="237" customWidth="1"/>
    <col min="13" max="19" width="8.8515625" style="237" customWidth="1"/>
    <col min="20" max="20" width="10.00390625" style="237" customWidth="1"/>
    <col min="21" max="21" width="6.28125" style="237" customWidth="1"/>
    <col min="22" max="16384" width="8.8515625" style="237" customWidth="1"/>
  </cols>
  <sheetData>
    <row r="1" spans="1:3" ht="15" customHeight="1" thickBot="1">
      <c r="A1" s="234" t="s">
        <v>164</v>
      </c>
      <c r="B1" s="235"/>
      <c r="C1" s="236" t="s">
        <v>115</v>
      </c>
    </row>
    <row r="2" spans="1:3" ht="15" customHeight="1">
      <c r="A2" s="238" t="s">
        <v>9</v>
      </c>
      <c r="B2" s="239" t="s">
        <v>165</v>
      </c>
      <c r="C2" s="240">
        <f>Příjmy_Výdaje!N16</f>
        <v>9000.8</v>
      </c>
    </row>
    <row r="3" spans="1:3" ht="15" customHeight="1">
      <c r="A3" s="241" t="s">
        <v>18</v>
      </c>
      <c r="B3" s="239" t="s">
        <v>166</v>
      </c>
      <c r="C3" s="240">
        <f>Příjmy_Výdaje!N20</f>
        <v>22038</v>
      </c>
    </row>
    <row r="4" spans="1:3" ht="15" customHeight="1">
      <c r="A4" s="241" t="s">
        <v>24</v>
      </c>
      <c r="B4" s="239" t="s">
        <v>167</v>
      </c>
      <c r="C4" s="240">
        <f>Příjmy_Výdaje!N32</f>
        <v>5782</v>
      </c>
    </row>
    <row r="5" spans="1:3" ht="15" customHeight="1">
      <c r="A5" s="241" t="s">
        <v>40</v>
      </c>
      <c r="B5" s="239" t="s">
        <v>168</v>
      </c>
      <c r="C5" s="240">
        <f>Příjmy_Výdaje!N38</f>
        <v>972</v>
      </c>
    </row>
    <row r="6" spans="1:3" ht="15" customHeight="1">
      <c r="A6" s="241" t="s">
        <v>46</v>
      </c>
      <c r="B6" s="239" t="s">
        <v>169</v>
      </c>
      <c r="C6" s="240">
        <f>Příjmy_Výdaje!N43</f>
        <v>2069</v>
      </c>
    </row>
    <row r="7" spans="1:3" ht="15" customHeight="1">
      <c r="A7" s="241" t="s">
        <v>52</v>
      </c>
      <c r="B7" s="239" t="s">
        <v>170</v>
      </c>
      <c r="C7" s="240">
        <f>Příjmy_Výdaje!N44</f>
        <v>1527</v>
      </c>
    </row>
    <row r="8" spans="1:3" ht="15" customHeight="1">
      <c r="A8" s="241" t="s">
        <v>54</v>
      </c>
      <c r="B8" s="239" t="s">
        <v>171</v>
      </c>
      <c r="C8" s="240">
        <f>Příjmy_Výdaje!N45</f>
        <v>4</v>
      </c>
    </row>
    <row r="9" spans="1:3" ht="15" customHeight="1">
      <c r="A9" s="241" t="s">
        <v>56</v>
      </c>
      <c r="B9" s="239" t="s">
        <v>172</v>
      </c>
      <c r="C9" s="240">
        <f>Příjmy_Výdaje!N50</f>
        <v>1367.2</v>
      </c>
    </row>
    <row r="10" spans="1:3" ht="15" customHeight="1" thickBot="1">
      <c r="A10" s="241" t="s">
        <v>62</v>
      </c>
      <c r="B10" s="239" t="s">
        <v>173</v>
      </c>
      <c r="C10" s="240">
        <v>0</v>
      </c>
    </row>
    <row r="11" spans="1:3" ht="15" customHeight="1" thickBot="1">
      <c r="A11" s="242"/>
      <c r="B11" s="243" t="s">
        <v>174</v>
      </c>
      <c r="C11" s="244">
        <f>SUM(C2:C10)</f>
        <v>42760</v>
      </c>
    </row>
    <row r="12" spans="1:2" ht="15" customHeight="1">
      <c r="A12" s="245"/>
      <c r="B12" s="245"/>
    </row>
    <row r="13" spans="1:3" ht="15" customHeight="1">
      <c r="A13" s="246"/>
      <c r="B13" s="246"/>
      <c r="C13" s="247"/>
    </row>
    <row r="14" ht="15" customHeight="1"/>
    <row r="15" ht="15" customHeight="1"/>
    <row r="16" ht="15" customHeight="1"/>
    <row r="17" ht="15" customHeight="1"/>
    <row r="18" ht="15" customHeight="1" thickBot="1"/>
    <row r="19" spans="1:3" ht="15" customHeight="1" thickBot="1">
      <c r="A19" s="248" t="s">
        <v>175</v>
      </c>
      <c r="B19" s="249"/>
      <c r="C19" s="236" t="s">
        <v>115</v>
      </c>
    </row>
    <row r="20" spans="1:3" ht="15" customHeight="1">
      <c r="A20" s="238" t="s">
        <v>9</v>
      </c>
      <c r="B20" s="250" t="s">
        <v>176</v>
      </c>
      <c r="C20" s="240">
        <f>Příjmy_Výdaje!N64</f>
        <v>3237</v>
      </c>
    </row>
    <row r="21" spans="1:3" ht="15" customHeight="1">
      <c r="A21" s="241" t="s">
        <v>18</v>
      </c>
      <c r="B21" s="239" t="s">
        <v>183</v>
      </c>
      <c r="C21" s="240">
        <f>Příjmy_Výdaje!N67-313</f>
        <v>12804</v>
      </c>
    </row>
    <row r="22" spans="1:3" ht="15" customHeight="1">
      <c r="A22" s="241" t="s">
        <v>24</v>
      </c>
      <c r="B22" s="239" t="s">
        <v>177</v>
      </c>
      <c r="C22" s="240">
        <f>Příjmy_Výdaje!N74</f>
        <v>2078</v>
      </c>
    </row>
    <row r="23" spans="1:3" ht="15" customHeight="1">
      <c r="A23" s="241" t="s">
        <v>40</v>
      </c>
      <c r="B23" s="239" t="s">
        <v>178</v>
      </c>
      <c r="C23" s="240">
        <f>Příjmy_Výdaje!N91</f>
        <v>14792</v>
      </c>
    </row>
    <row r="24" spans="1:3" ht="15" customHeight="1">
      <c r="A24" s="241" t="s">
        <v>46</v>
      </c>
      <c r="B24" s="251" t="s">
        <v>179</v>
      </c>
      <c r="C24" s="240">
        <f>Příjmy_Výdaje!N107</f>
        <v>7017</v>
      </c>
    </row>
    <row r="25" spans="1:3" ht="15" customHeight="1">
      <c r="A25" s="241" t="s">
        <v>52</v>
      </c>
      <c r="B25" s="239" t="s">
        <v>180</v>
      </c>
      <c r="C25" s="240">
        <f>Příjmy_Výdaje!N118</f>
        <v>3286.5</v>
      </c>
    </row>
    <row r="26" spans="1:3" ht="15" customHeight="1">
      <c r="A26" s="241" t="s">
        <v>54</v>
      </c>
      <c r="B26" s="239" t="s">
        <v>181</v>
      </c>
      <c r="C26" s="240">
        <f>Příjmy_Výdaje!N119</f>
        <v>395</v>
      </c>
    </row>
    <row r="27" spans="1:3" ht="15" customHeight="1">
      <c r="A27" s="241" t="s">
        <v>56</v>
      </c>
      <c r="B27" s="239" t="s">
        <v>170</v>
      </c>
      <c r="C27" s="240">
        <f>Příjmy_Výdaje!N120</f>
        <v>1195</v>
      </c>
    </row>
    <row r="28" spans="1:3" ht="15" customHeight="1" thickBot="1">
      <c r="A28" s="252" t="s">
        <v>62</v>
      </c>
      <c r="B28" s="253" t="s">
        <v>173</v>
      </c>
      <c r="C28" s="240">
        <v>363</v>
      </c>
    </row>
    <row r="29" spans="1:3" ht="15" customHeight="1" thickBot="1">
      <c r="A29" s="242"/>
      <c r="B29" s="243" t="s">
        <v>174</v>
      </c>
      <c r="C29" s="244">
        <f>SUM(C20:C28)</f>
        <v>45167.5</v>
      </c>
    </row>
    <row r="30" ht="15" customHeight="1"/>
    <row r="31" ht="15" customHeight="1"/>
    <row r="32" ht="15" customHeight="1"/>
    <row r="33" ht="15" customHeight="1"/>
    <row r="34" ht="15" customHeight="1" thickBot="1"/>
    <row r="35" spans="1:3" ht="15" customHeight="1" thickBot="1">
      <c r="A35" s="254" t="s">
        <v>182</v>
      </c>
      <c r="B35" s="255"/>
      <c r="C35" s="256">
        <f>+C11-C29</f>
        <v>-2407.5</v>
      </c>
    </row>
    <row r="36" ht="15" customHeight="1"/>
    <row r="37" ht="13.5" customHeight="1"/>
    <row r="38" spans="7:11" ht="12.75" customHeight="1">
      <c r="G38" s="257"/>
      <c r="H38" s="257"/>
      <c r="I38" s="258"/>
      <c r="J38" s="257"/>
      <c r="K38" s="257"/>
    </row>
  </sheetData>
  <sheetProtection/>
  <mergeCells count="2">
    <mergeCell ref="A1:B1"/>
    <mergeCell ref="A19:B19"/>
  </mergeCells>
  <printOptions/>
  <pageMargins left="0.35433070866141736" right="0.2362204724409449" top="1.062992125984252" bottom="0.4724409448818898" header="0.35433070866141736" footer="0.2362204724409449"/>
  <pageSetup horizontalDpi="600" verticalDpi="600" orientation="landscape" paperSize="9" scale="79" r:id="rId2"/>
  <headerFooter alignWithMargins="0">
    <oddHeader>&amp;C&amp;"Arial Black,Obyčejné"&amp;14Plnění příjmů a výdajů města Blovice za 1.pol. 2014 - graf</oddHeader>
    <oddFooter>&amp;Lvyvěšeno: 
sejmuto:&amp;Rsestavil Ing.Michal Hodek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I76" sqref="I76"/>
    </sheetView>
  </sheetViews>
  <sheetFormatPr defaultColWidth="8.8515625" defaultRowHeight="12.75"/>
  <cols>
    <col min="1" max="2" width="8.8515625" style="237" customWidth="1"/>
    <col min="3" max="3" width="3.8515625" style="237" customWidth="1"/>
    <col min="4" max="4" width="22.421875" style="237" customWidth="1"/>
    <col min="5" max="5" width="8.140625" style="237" customWidth="1"/>
    <col min="6" max="6" width="8.57421875" style="237" bestFit="1" customWidth="1"/>
    <col min="7" max="7" width="8.57421875" style="237" customWidth="1"/>
    <col min="8" max="8" width="8.57421875" style="237" bestFit="1" customWidth="1"/>
    <col min="9" max="9" width="5.57421875" style="237" customWidth="1"/>
    <col min="10" max="10" width="8.140625" style="237" customWidth="1"/>
    <col min="11" max="11" width="6.7109375" style="237" customWidth="1"/>
    <col min="12" max="12" width="3.8515625" style="237" customWidth="1"/>
    <col min="13" max="16384" width="8.8515625" style="237" customWidth="1"/>
  </cols>
  <sheetData>
    <row r="1" spans="1:10" ht="15.75">
      <c r="A1" s="259" t="s">
        <v>184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3.5" customHeight="1" thickBot="1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.5" thickBot="1">
      <c r="A3" s="261" t="s">
        <v>185</v>
      </c>
      <c r="B3" s="262"/>
      <c r="C3" s="262"/>
      <c r="D3" s="263"/>
      <c r="E3" s="264" t="s">
        <v>237</v>
      </c>
      <c r="F3" s="265"/>
      <c r="G3" s="266" t="s">
        <v>238</v>
      </c>
      <c r="H3" s="267"/>
      <c r="I3" s="268" t="s">
        <v>187</v>
      </c>
      <c r="J3" s="269"/>
    </row>
    <row r="4" spans="1:10" ht="13.5" thickBot="1">
      <c r="A4" s="270" t="s">
        <v>188</v>
      </c>
      <c r="B4" s="271"/>
      <c r="C4" s="271"/>
      <c r="D4" s="271"/>
      <c r="E4" s="272"/>
      <c r="F4" s="273">
        <f>SUM(F5:F7)</f>
        <v>494324</v>
      </c>
      <c r="G4" s="274"/>
      <c r="H4" s="275">
        <f>SUM(H5:H7)</f>
        <v>510673</v>
      </c>
      <c r="I4" s="276"/>
      <c r="J4" s="277">
        <f aca="true" t="shared" si="0" ref="J4:J12">+H4/F4</f>
        <v>1.033073449802154</v>
      </c>
    </row>
    <row r="5" spans="1:10" ht="12.75">
      <c r="A5" s="278" t="s">
        <v>189</v>
      </c>
      <c r="B5" s="279" t="s">
        <v>190</v>
      </c>
      <c r="C5" s="271"/>
      <c r="D5" s="280"/>
      <c r="E5" s="281"/>
      <c r="F5" s="282">
        <v>2473</v>
      </c>
      <c r="G5" s="283"/>
      <c r="H5" s="284">
        <v>2429</v>
      </c>
      <c r="I5" s="285"/>
      <c r="J5" s="286">
        <f t="shared" si="0"/>
        <v>0.9822078447230085</v>
      </c>
    </row>
    <row r="6" spans="1:10" ht="12.75">
      <c r="A6" s="287"/>
      <c r="B6" s="288" t="s">
        <v>191</v>
      </c>
      <c r="C6" s="246"/>
      <c r="D6" s="289"/>
      <c r="E6" s="281"/>
      <c r="F6" s="282">
        <v>491632</v>
      </c>
      <c r="G6" s="283"/>
      <c r="H6" s="284">
        <v>508028</v>
      </c>
      <c r="I6" s="285"/>
      <c r="J6" s="286">
        <f t="shared" si="0"/>
        <v>1.0333501480782374</v>
      </c>
    </row>
    <row r="7" spans="1:10" ht="13.5" thickBot="1">
      <c r="A7" s="290"/>
      <c r="B7" s="291" t="s">
        <v>192</v>
      </c>
      <c r="C7" s="292"/>
      <c r="D7" s="293"/>
      <c r="E7" s="294"/>
      <c r="F7" s="295">
        <v>219</v>
      </c>
      <c r="G7" s="296"/>
      <c r="H7" s="297">
        <v>216</v>
      </c>
      <c r="I7" s="298"/>
      <c r="J7" s="299">
        <f t="shared" si="0"/>
        <v>0.9863013698630136</v>
      </c>
    </row>
    <row r="8" spans="1:10" ht="13.5" thickBot="1">
      <c r="A8" s="270" t="s">
        <v>193</v>
      </c>
      <c r="B8" s="300"/>
      <c r="C8" s="271"/>
      <c r="D8" s="271"/>
      <c r="E8" s="272"/>
      <c r="F8" s="273">
        <f>SUM(F9:F11)</f>
        <v>28496</v>
      </c>
      <c r="G8" s="301"/>
      <c r="H8" s="302">
        <f>SUM(G9:H11)</f>
        <v>54106</v>
      </c>
      <c r="I8" s="276"/>
      <c r="J8" s="277">
        <f t="shared" si="0"/>
        <v>1.8987226277372262</v>
      </c>
    </row>
    <row r="9" spans="1:10" ht="12.75">
      <c r="A9" s="278" t="s">
        <v>189</v>
      </c>
      <c r="B9" s="279" t="s">
        <v>194</v>
      </c>
      <c r="C9" s="271"/>
      <c r="D9" s="280"/>
      <c r="E9" s="281"/>
      <c r="F9" s="282">
        <v>37</v>
      </c>
      <c r="G9" s="283"/>
      <c r="H9" s="284">
        <v>30</v>
      </c>
      <c r="I9" s="303"/>
      <c r="J9" s="286">
        <f t="shared" si="0"/>
        <v>0.8108108108108109</v>
      </c>
    </row>
    <row r="10" spans="1:10" ht="12.75">
      <c r="A10" s="287"/>
      <c r="B10" s="288" t="s">
        <v>195</v>
      </c>
      <c r="C10" s="246"/>
      <c r="D10" s="289"/>
      <c r="E10" s="281"/>
      <c r="F10" s="282">
        <v>14411</v>
      </c>
      <c r="G10" s="283"/>
      <c r="H10" s="284">
        <v>34539</v>
      </c>
      <c r="I10" s="285"/>
      <c r="J10" s="286">
        <f t="shared" si="0"/>
        <v>2.396710845881618</v>
      </c>
    </row>
    <row r="11" spans="1:10" ht="13.5" thickBot="1">
      <c r="A11" s="290"/>
      <c r="B11" s="291" t="s">
        <v>196</v>
      </c>
      <c r="C11" s="292"/>
      <c r="D11" s="293"/>
      <c r="E11" s="294"/>
      <c r="F11" s="295">
        <v>14048</v>
      </c>
      <c r="G11" s="283"/>
      <c r="H11" s="284">
        <v>19537</v>
      </c>
      <c r="I11" s="298"/>
      <c r="J11" s="299">
        <f t="shared" si="0"/>
        <v>1.390731776765376</v>
      </c>
    </row>
    <row r="12" spans="1:10" ht="13.5" thickBot="1">
      <c r="A12" s="304" t="s">
        <v>197</v>
      </c>
      <c r="B12" s="294"/>
      <c r="C12" s="292"/>
      <c r="D12" s="293"/>
      <c r="E12" s="272"/>
      <c r="F12" s="305">
        <f>+F4+F8</f>
        <v>522820</v>
      </c>
      <c r="G12" s="306"/>
      <c r="H12" s="307">
        <f>+H4+H8</f>
        <v>564779</v>
      </c>
      <c r="I12" s="308"/>
      <c r="J12" s="309">
        <f t="shared" si="0"/>
        <v>1.0802551547377683</v>
      </c>
    </row>
    <row r="13" spans="2:10" ht="13.5" thickBot="1">
      <c r="B13" s="310"/>
      <c r="E13" s="310"/>
      <c r="F13" s="310"/>
      <c r="I13" s="311"/>
      <c r="J13" s="311"/>
    </row>
    <row r="14" spans="1:10" ht="16.5" thickBot="1">
      <c r="A14" s="261" t="s">
        <v>198</v>
      </c>
      <c r="B14" s="312"/>
      <c r="C14" s="262"/>
      <c r="D14" s="263"/>
      <c r="E14" s="264" t="s">
        <v>237</v>
      </c>
      <c r="F14" s="265"/>
      <c r="G14" s="266" t="s">
        <v>238</v>
      </c>
      <c r="H14" s="267"/>
      <c r="I14" s="313" t="s">
        <v>187</v>
      </c>
      <c r="J14" s="314"/>
    </row>
    <row r="15" spans="1:10" ht="13.5" thickBot="1">
      <c r="A15" s="270" t="s">
        <v>199</v>
      </c>
      <c r="B15" s="300"/>
      <c r="C15" s="271"/>
      <c r="D15" s="280"/>
      <c r="E15" s="272"/>
      <c r="F15" s="273">
        <f>SUM(F16:F18)</f>
        <v>443561</v>
      </c>
      <c r="G15" s="315"/>
      <c r="H15" s="275">
        <f>SUM(H16:H18)</f>
        <v>462567</v>
      </c>
      <c r="I15" s="276"/>
      <c r="J15" s="277">
        <f aca="true" t="shared" si="1" ref="J15:J22">+H15/F15</f>
        <v>1.0428486724486599</v>
      </c>
    </row>
    <row r="16" spans="1:10" ht="12.75">
      <c r="A16" s="278" t="s">
        <v>189</v>
      </c>
      <c r="B16" s="279" t="s">
        <v>200</v>
      </c>
      <c r="C16" s="271"/>
      <c r="D16" s="280"/>
      <c r="E16" s="281"/>
      <c r="F16" s="282">
        <v>409016</v>
      </c>
      <c r="G16" s="316"/>
      <c r="H16" s="316">
        <v>417184</v>
      </c>
      <c r="I16" s="285"/>
      <c r="J16" s="286">
        <f t="shared" si="1"/>
        <v>1.0199698789289418</v>
      </c>
    </row>
    <row r="17" spans="1:10" ht="12.75">
      <c r="A17" s="287"/>
      <c r="B17" s="288" t="s">
        <v>201</v>
      </c>
      <c r="C17" s="246"/>
      <c r="D17" s="289"/>
      <c r="E17" s="281"/>
      <c r="F17" s="282">
        <v>351</v>
      </c>
      <c r="G17" s="316"/>
      <c r="H17" s="316">
        <v>250</v>
      </c>
      <c r="I17" s="285"/>
      <c r="J17" s="286">
        <f t="shared" si="1"/>
        <v>0.7122507122507122</v>
      </c>
    </row>
    <row r="18" spans="1:10" ht="13.5" thickBot="1">
      <c r="A18" s="290"/>
      <c r="B18" s="291" t="s">
        <v>202</v>
      </c>
      <c r="C18" s="292"/>
      <c r="D18" s="293"/>
      <c r="E18" s="294"/>
      <c r="F18" s="295">
        <v>34194</v>
      </c>
      <c r="G18" s="317"/>
      <c r="H18" s="317">
        <v>45133</v>
      </c>
      <c r="I18" s="285"/>
      <c r="J18" s="286">
        <f t="shared" si="1"/>
        <v>1.3199099257179623</v>
      </c>
    </row>
    <row r="19" spans="1:10" ht="13.5" thickBot="1">
      <c r="A19" s="318" t="s">
        <v>203</v>
      </c>
      <c r="B19" s="281"/>
      <c r="C19" s="246"/>
      <c r="D19" s="289"/>
      <c r="E19" s="272"/>
      <c r="F19" s="273">
        <f>SUM(E20:F21)</f>
        <v>79259</v>
      </c>
      <c r="G19" s="319"/>
      <c r="H19" s="319">
        <f>SUM(G20:H21)</f>
        <v>102212</v>
      </c>
      <c r="I19" s="276"/>
      <c r="J19" s="277">
        <f t="shared" si="1"/>
        <v>1.2895948725065922</v>
      </c>
    </row>
    <row r="20" spans="1:10" ht="12.75">
      <c r="A20" s="278" t="s">
        <v>189</v>
      </c>
      <c r="B20" s="279" t="s">
        <v>204</v>
      </c>
      <c r="C20" s="271"/>
      <c r="D20" s="280"/>
      <c r="E20" s="320"/>
      <c r="F20" s="282">
        <v>47020</v>
      </c>
      <c r="G20" s="321"/>
      <c r="H20" s="321">
        <v>58614</v>
      </c>
      <c r="I20" s="285"/>
      <c r="J20" s="286">
        <f t="shared" si="1"/>
        <v>1.2465759251382391</v>
      </c>
    </row>
    <row r="21" spans="1:10" ht="13.5" thickBot="1">
      <c r="A21" s="290"/>
      <c r="B21" s="291" t="s">
        <v>205</v>
      </c>
      <c r="C21" s="292"/>
      <c r="D21" s="293"/>
      <c r="E21" s="320"/>
      <c r="F21" s="282">
        <v>32239</v>
      </c>
      <c r="G21" s="321"/>
      <c r="H21" s="321">
        <v>43598</v>
      </c>
      <c r="I21" s="285"/>
      <c r="J21" s="286">
        <f t="shared" si="1"/>
        <v>1.3523372313037005</v>
      </c>
    </row>
    <row r="22" spans="1:10" ht="13.5" thickBot="1">
      <c r="A22" s="304" t="s">
        <v>206</v>
      </c>
      <c r="B22" s="292"/>
      <c r="C22" s="292"/>
      <c r="D22" s="293"/>
      <c r="E22" s="272"/>
      <c r="F22" s="322">
        <f>+F15+F19</f>
        <v>522820</v>
      </c>
      <c r="G22" s="323"/>
      <c r="H22" s="307">
        <f>+H15+H19</f>
        <v>564779</v>
      </c>
      <c r="I22" s="276"/>
      <c r="J22" s="309">
        <f t="shared" si="1"/>
        <v>1.0802551547377683</v>
      </c>
    </row>
    <row r="23" ht="12.75">
      <c r="A23" s="310"/>
    </row>
    <row r="24" ht="6.75" customHeight="1">
      <c r="A24" s="310"/>
    </row>
    <row r="25" spans="1:10" ht="15.75">
      <c r="A25" s="259" t="s">
        <v>207</v>
      </c>
      <c r="B25" s="259"/>
      <c r="C25" s="259"/>
      <c r="D25" s="259"/>
      <c r="E25" s="259"/>
      <c r="F25" s="259"/>
      <c r="G25" s="259"/>
      <c r="H25" s="259"/>
      <c r="I25" s="259"/>
      <c r="J25" s="259"/>
    </row>
    <row r="26" spans="1:10" ht="13.5" customHeight="1" thickBo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0" ht="13.5" thickBot="1">
      <c r="A27" s="324" t="s">
        <v>208</v>
      </c>
      <c r="B27" s="325"/>
      <c r="C27" s="271"/>
      <c r="D27" s="271"/>
      <c r="E27" s="326" t="s">
        <v>186</v>
      </c>
      <c r="F27" s="327"/>
      <c r="G27" s="266" t="s">
        <v>238</v>
      </c>
      <c r="H27" s="267"/>
      <c r="I27" s="328" t="s">
        <v>187</v>
      </c>
      <c r="J27" s="329"/>
    </row>
    <row r="28" spans="1:10" ht="13.5" thickBot="1">
      <c r="A28" s="301" t="s">
        <v>209</v>
      </c>
      <c r="B28" s="319"/>
      <c r="C28" s="319"/>
      <c r="D28" s="319"/>
      <c r="E28" s="330"/>
      <c r="F28" s="331">
        <f>SUM(E29:F31)</f>
        <v>63444</v>
      </c>
      <c r="G28" s="332"/>
      <c r="H28" s="275">
        <f>SUM(G29:H31)</f>
        <v>28906</v>
      </c>
      <c r="I28" s="333"/>
      <c r="J28" s="334">
        <f aca="true" t="shared" si="2" ref="J28:J39">+H28/F28</f>
        <v>0.45561440010087634</v>
      </c>
    </row>
    <row r="29" spans="1:10" ht="12.75">
      <c r="A29" s="287" t="s">
        <v>189</v>
      </c>
      <c r="B29" s="281" t="s">
        <v>210</v>
      </c>
      <c r="C29" s="246"/>
      <c r="D29" s="246"/>
      <c r="E29" s="335"/>
      <c r="F29" s="336">
        <v>51829</v>
      </c>
      <c r="G29" s="337"/>
      <c r="H29" s="338">
        <v>23551</v>
      </c>
      <c r="I29" s="246"/>
      <c r="J29" s="339">
        <f t="shared" si="2"/>
        <v>0.45439811688436976</v>
      </c>
    </row>
    <row r="30" spans="1:10" ht="12.75">
      <c r="A30" s="287"/>
      <c r="B30" s="281" t="s">
        <v>211</v>
      </c>
      <c r="C30" s="246"/>
      <c r="D30" s="246"/>
      <c r="E30" s="335"/>
      <c r="F30" s="336">
        <v>1009</v>
      </c>
      <c r="G30" s="337"/>
      <c r="H30" s="338">
        <v>385</v>
      </c>
      <c r="I30" s="246"/>
      <c r="J30" s="339">
        <f t="shared" si="2"/>
        <v>0.3815659068384539</v>
      </c>
    </row>
    <row r="31" spans="1:10" ht="13.5" thickBot="1">
      <c r="A31" s="290"/>
      <c r="B31" s="291" t="s">
        <v>212</v>
      </c>
      <c r="C31" s="292"/>
      <c r="D31" s="292"/>
      <c r="E31" s="340"/>
      <c r="F31" s="341">
        <v>10606</v>
      </c>
      <c r="G31" s="342"/>
      <c r="H31" s="343">
        <v>4970</v>
      </c>
      <c r="I31" s="246"/>
      <c r="J31" s="339">
        <f t="shared" si="2"/>
        <v>0.468602677729587</v>
      </c>
    </row>
    <row r="32" spans="1:10" ht="13.5" thickBot="1">
      <c r="A32" s="301" t="s">
        <v>213</v>
      </c>
      <c r="B32" s="319"/>
      <c r="C32" s="319"/>
      <c r="D32" s="319"/>
      <c r="E32" s="330"/>
      <c r="F32" s="331">
        <f>SUM(F33:F36)</f>
        <v>79202</v>
      </c>
      <c r="G32" s="332"/>
      <c r="H32" s="275">
        <f>SUM(H33:H36)</f>
        <v>38273</v>
      </c>
      <c r="I32" s="333"/>
      <c r="J32" s="334">
        <f t="shared" si="2"/>
        <v>0.4832327466478119</v>
      </c>
    </row>
    <row r="33" spans="1:10" ht="12.75">
      <c r="A33" s="320" t="s">
        <v>189</v>
      </c>
      <c r="B33" s="281" t="s">
        <v>214</v>
      </c>
      <c r="C33" s="316"/>
      <c r="D33" s="316"/>
      <c r="E33" s="335"/>
      <c r="F33" s="336">
        <v>16399</v>
      </c>
      <c r="G33" s="337"/>
      <c r="H33" s="338">
        <v>8995</v>
      </c>
      <c r="I33" s="246"/>
      <c r="J33" s="339">
        <f t="shared" si="2"/>
        <v>0.5485090554302091</v>
      </c>
    </row>
    <row r="34" spans="1:10" ht="12.75">
      <c r="A34" s="320"/>
      <c r="B34" s="281" t="s">
        <v>215</v>
      </c>
      <c r="C34" s="316"/>
      <c r="D34" s="316"/>
      <c r="E34" s="335"/>
      <c r="F34" s="336">
        <v>991</v>
      </c>
      <c r="G34" s="337"/>
      <c r="H34" s="338">
        <v>10</v>
      </c>
      <c r="I34" s="246"/>
      <c r="J34" s="339">
        <f t="shared" si="2"/>
        <v>0.010090817356205853</v>
      </c>
    </row>
    <row r="35" spans="1:10" ht="12.75">
      <c r="A35" s="320"/>
      <c r="B35" s="281" t="s">
        <v>216</v>
      </c>
      <c r="C35" s="316"/>
      <c r="D35" s="316"/>
      <c r="E35" s="335"/>
      <c r="F35" s="336">
        <v>15935</v>
      </c>
      <c r="G35" s="337"/>
      <c r="H35" s="338">
        <v>6615</v>
      </c>
      <c r="I35" s="246"/>
      <c r="J35" s="339">
        <f>+H35/F35</f>
        <v>0.41512394101035455</v>
      </c>
    </row>
    <row r="36" spans="1:10" ht="13.5" thickBot="1">
      <c r="A36" s="320"/>
      <c r="B36" s="281" t="s">
        <v>217</v>
      </c>
      <c r="C36" s="316"/>
      <c r="D36" s="316"/>
      <c r="E36" s="335"/>
      <c r="F36" s="336">
        <v>45877</v>
      </c>
      <c r="G36" s="337"/>
      <c r="H36" s="338">
        <v>22653</v>
      </c>
      <c r="I36" s="246"/>
      <c r="J36" s="339">
        <f t="shared" si="2"/>
        <v>0.49377683806700523</v>
      </c>
    </row>
    <row r="37" spans="1:10" ht="13.5" thickBot="1">
      <c r="A37" s="301" t="s">
        <v>218</v>
      </c>
      <c r="B37" s="301"/>
      <c r="C37" s="319"/>
      <c r="D37" s="319"/>
      <c r="E37" s="330"/>
      <c r="F37" s="322">
        <f>+F32-F28</f>
        <v>15758</v>
      </c>
      <c r="G37" s="332"/>
      <c r="H37" s="344">
        <f>+H32-H28</f>
        <v>9367</v>
      </c>
      <c r="I37" s="315"/>
      <c r="J37" s="334">
        <f t="shared" si="2"/>
        <v>0.5944282269323519</v>
      </c>
    </row>
    <row r="38" spans="1:10" ht="12.75">
      <c r="A38" s="320" t="s">
        <v>219</v>
      </c>
      <c r="B38" s="246"/>
      <c r="C38" s="246"/>
      <c r="D38" s="246"/>
      <c r="E38" s="320"/>
      <c r="F38" s="282">
        <v>1254</v>
      </c>
      <c r="G38" s="283"/>
      <c r="H38" s="284"/>
      <c r="I38" s="246"/>
      <c r="J38" s="345">
        <f t="shared" si="2"/>
        <v>0</v>
      </c>
    </row>
    <row r="39" spans="1:10" ht="13.5" thickBot="1">
      <c r="A39" s="346" t="s">
        <v>220</v>
      </c>
      <c r="B39" s="347"/>
      <c r="C39" s="347"/>
      <c r="D39" s="347"/>
      <c r="E39" s="348"/>
      <c r="F39" s="349">
        <f>+F37-F38</f>
        <v>14504</v>
      </c>
      <c r="G39" s="346"/>
      <c r="H39" s="350">
        <f>+H37-H38</f>
        <v>9367</v>
      </c>
      <c r="I39" s="347"/>
      <c r="J39" s="351">
        <f t="shared" si="2"/>
        <v>0.6458218422504137</v>
      </c>
    </row>
    <row r="40" spans="1:10" ht="12.75">
      <c r="A40" s="316"/>
      <c r="B40" s="246"/>
      <c r="C40" s="246"/>
      <c r="D40" s="246"/>
      <c r="E40" s="246"/>
      <c r="F40" s="281"/>
      <c r="G40" s="316"/>
      <c r="H40" s="316"/>
      <c r="I40" s="246"/>
      <c r="J40" s="352"/>
    </row>
    <row r="41" spans="1:10" ht="15.75">
      <c r="A41" s="259" t="s">
        <v>221</v>
      </c>
      <c r="B41" s="259"/>
      <c r="C41" s="259"/>
      <c r="D41" s="259"/>
      <c r="E41" s="259"/>
      <c r="F41" s="259"/>
      <c r="G41" s="259"/>
      <c r="H41" s="259"/>
      <c r="I41" s="259"/>
      <c r="J41" s="259"/>
    </row>
    <row r="42" spans="1:10" ht="13.5" customHeight="1" thickBo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</row>
    <row r="43" spans="1:10" ht="13.5" thickBot="1">
      <c r="A43" s="324" t="s">
        <v>208</v>
      </c>
      <c r="B43" s="325"/>
      <c r="C43" s="271"/>
      <c r="D43" s="271"/>
      <c r="E43" s="326" t="s">
        <v>186</v>
      </c>
      <c r="F43" s="327"/>
      <c r="G43" s="266" t="s">
        <v>238</v>
      </c>
      <c r="H43" s="267"/>
      <c r="I43" s="353" t="s">
        <v>187</v>
      </c>
      <c r="J43" s="269"/>
    </row>
    <row r="44" spans="1:10" ht="13.5" thickBot="1">
      <c r="A44" s="301" t="s">
        <v>209</v>
      </c>
      <c r="B44" s="319"/>
      <c r="C44" s="319"/>
      <c r="D44" s="319"/>
      <c r="E44" s="330"/>
      <c r="F44" s="331">
        <f>+F45+F51+F52</f>
        <v>4811</v>
      </c>
      <c r="G44" s="331"/>
      <c r="H44" s="275">
        <f>+H45+H51+H52</f>
        <v>2262</v>
      </c>
      <c r="I44" s="354"/>
      <c r="J44" s="334">
        <f>+H44/F44</f>
        <v>0.47017252130534193</v>
      </c>
    </row>
    <row r="45" spans="1:10" ht="12.75">
      <c r="A45" s="287" t="s">
        <v>189</v>
      </c>
      <c r="B45" s="281" t="s">
        <v>210</v>
      </c>
      <c r="C45" s="246"/>
      <c r="D45" s="246"/>
      <c r="E45" s="335"/>
      <c r="F45" s="336">
        <f>SUM(F46:F50)</f>
        <v>4811</v>
      </c>
      <c r="G45" s="337"/>
      <c r="H45" s="338">
        <f>SUM(H46:H50)</f>
        <v>2262</v>
      </c>
      <c r="I45" s="325"/>
      <c r="J45" s="355">
        <f aca="true" t="shared" si="3" ref="J45:J50">+H45/F45</f>
        <v>0.47017252130534193</v>
      </c>
    </row>
    <row r="46" spans="1:10" ht="12.75">
      <c r="A46" s="287"/>
      <c r="B46" s="310" t="s">
        <v>189</v>
      </c>
      <c r="C46" s="281" t="s">
        <v>222</v>
      </c>
      <c r="D46" s="246"/>
      <c r="E46" s="335"/>
      <c r="F46" s="336">
        <v>133</v>
      </c>
      <c r="G46" s="337"/>
      <c r="H46" s="338">
        <f>27+61</f>
        <v>88</v>
      </c>
      <c r="I46" s="287"/>
      <c r="J46" s="339">
        <f t="shared" si="3"/>
        <v>0.6616541353383458</v>
      </c>
    </row>
    <row r="47" spans="1:10" ht="12.75">
      <c r="A47" s="287"/>
      <c r="C47" s="281" t="s">
        <v>223</v>
      </c>
      <c r="D47" s="246"/>
      <c r="E47" s="335"/>
      <c r="F47" s="336">
        <v>1714</v>
      </c>
      <c r="G47" s="337"/>
      <c r="H47" s="338">
        <v>813</v>
      </c>
      <c r="I47" s="287"/>
      <c r="J47" s="339">
        <f t="shared" si="3"/>
        <v>0.47432905484247373</v>
      </c>
    </row>
    <row r="48" spans="1:10" ht="12.75">
      <c r="A48" s="287"/>
      <c r="B48" s="310"/>
      <c r="C48" s="281" t="s">
        <v>224</v>
      </c>
      <c r="D48" s="246"/>
      <c r="E48" s="335"/>
      <c r="F48" s="336">
        <v>1006</v>
      </c>
      <c r="G48" s="337"/>
      <c r="H48" s="338">
        <v>324</v>
      </c>
      <c r="I48" s="287"/>
      <c r="J48" s="339">
        <f t="shared" si="3"/>
        <v>0.3220675944333996</v>
      </c>
    </row>
    <row r="49" spans="1:10" ht="12.75">
      <c r="A49" s="287"/>
      <c r="B49" s="310"/>
      <c r="C49" s="281" t="s">
        <v>225</v>
      </c>
      <c r="D49" s="246"/>
      <c r="E49" s="335"/>
      <c r="F49" s="336">
        <v>2043</v>
      </c>
      <c r="G49" s="337"/>
      <c r="H49" s="338">
        <v>1018</v>
      </c>
      <c r="I49" s="287"/>
      <c r="J49" s="339">
        <f t="shared" si="3"/>
        <v>0.4982868330885952</v>
      </c>
    </row>
    <row r="50" spans="1:10" ht="12.75">
      <c r="A50" s="287"/>
      <c r="B50" s="310"/>
      <c r="C50" s="281" t="s">
        <v>226</v>
      </c>
      <c r="D50" s="246"/>
      <c r="E50" s="335"/>
      <c r="F50" s="336">
        <v>-85</v>
      </c>
      <c r="G50" s="337"/>
      <c r="H50" s="338">
        <v>19</v>
      </c>
      <c r="I50" s="287"/>
      <c r="J50" s="339">
        <f t="shared" si="3"/>
        <v>-0.2235294117647059</v>
      </c>
    </row>
    <row r="51" spans="1:10" ht="12.75">
      <c r="A51" s="287"/>
      <c r="B51" s="281" t="s">
        <v>211</v>
      </c>
      <c r="C51" s="246"/>
      <c r="D51" s="246"/>
      <c r="E51" s="335"/>
      <c r="F51" s="336">
        <v>0</v>
      </c>
      <c r="G51" s="337"/>
      <c r="H51" s="338">
        <v>0</v>
      </c>
      <c r="I51" s="287"/>
      <c r="J51" s="339">
        <v>0</v>
      </c>
    </row>
    <row r="52" spans="1:10" ht="13.5" thickBot="1">
      <c r="A52" s="290"/>
      <c r="B52" s="291" t="s">
        <v>212</v>
      </c>
      <c r="C52" s="292"/>
      <c r="D52" s="292"/>
      <c r="E52" s="340"/>
      <c r="F52" s="341">
        <v>0</v>
      </c>
      <c r="G52" s="342"/>
      <c r="H52" s="343">
        <v>0</v>
      </c>
      <c r="I52" s="290"/>
      <c r="J52" s="356">
        <v>0</v>
      </c>
    </row>
    <row r="53" spans="1:10" ht="13.5" thickBot="1">
      <c r="A53" s="301" t="s">
        <v>213</v>
      </c>
      <c r="B53" s="319"/>
      <c r="C53" s="319"/>
      <c r="D53" s="319"/>
      <c r="E53" s="330"/>
      <c r="F53" s="331">
        <f>SUM(F54:F57)</f>
        <v>6852</v>
      </c>
      <c r="G53" s="332"/>
      <c r="H53" s="275">
        <f>SUM(H54:H57)</f>
        <v>3835</v>
      </c>
      <c r="I53" s="287"/>
      <c r="J53" s="357">
        <f aca="true" t="shared" si="4" ref="J53:J60">+H53/F53</f>
        <v>0.5596906012842966</v>
      </c>
    </row>
    <row r="54" spans="1:10" ht="12.75">
      <c r="A54" s="320" t="s">
        <v>189</v>
      </c>
      <c r="B54" s="281" t="s">
        <v>227</v>
      </c>
      <c r="C54" s="316"/>
      <c r="D54" s="316"/>
      <c r="E54" s="358"/>
      <c r="F54" s="358">
        <v>5203</v>
      </c>
      <c r="G54" s="359"/>
      <c r="H54" s="359">
        <v>2842</v>
      </c>
      <c r="I54" s="325"/>
      <c r="J54" s="355">
        <f t="shared" si="4"/>
        <v>0.5462233326926773</v>
      </c>
    </row>
    <row r="55" spans="1:10" ht="12.75">
      <c r="A55" s="320"/>
      <c r="B55" s="281" t="s">
        <v>215</v>
      </c>
      <c r="C55" s="316"/>
      <c r="D55" s="316"/>
      <c r="E55" s="360"/>
      <c r="F55" s="360">
        <v>11</v>
      </c>
      <c r="G55" s="337"/>
      <c r="H55" s="337">
        <v>4</v>
      </c>
      <c r="I55" s="287"/>
      <c r="J55" s="339">
        <f t="shared" si="4"/>
        <v>0.36363636363636365</v>
      </c>
    </row>
    <row r="56" spans="1:10" ht="12.75">
      <c r="A56" s="320"/>
      <c r="B56" s="281" t="s">
        <v>228</v>
      </c>
      <c r="C56" s="316"/>
      <c r="D56" s="316"/>
      <c r="E56" s="360"/>
      <c r="F56" s="360">
        <v>1087</v>
      </c>
      <c r="G56" s="337"/>
      <c r="H56" s="337">
        <v>543</v>
      </c>
      <c r="I56" s="287"/>
      <c r="J56" s="339">
        <f t="shared" si="4"/>
        <v>0.49954001839926404</v>
      </c>
    </row>
    <row r="57" spans="1:10" ht="13.5" thickBot="1">
      <c r="A57" s="320"/>
      <c r="B57" s="281" t="s">
        <v>217</v>
      </c>
      <c r="C57" s="316"/>
      <c r="D57" s="316"/>
      <c r="E57" s="360"/>
      <c r="F57" s="360">
        <v>551</v>
      </c>
      <c r="G57" s="342"/>
      <c r="H57" s="337">
        <v>446</v>
      </c>
      <c r="I57" s="287"/>
      <c r="J57" s="339">
        <f t="shared" si="4"/>
        <v>0.809437386569873</v>
      </c>
    </row>
    <row r="58" spans="1:10" ht="13.5" thickBot="1">
      <c r="A58" s="301" t="s">
        <v>218</v>
      </c>
      <c r="B58" s="301"/>
      <c r="C58" s="319"/>
      <c r="D58" s="319"/>
      <c r="E58" s="361"/>
      <c r="F58" s="362">
        <f>+F53-F44</f>
        <v>2041</v>
      </c>
      <c r="G58" s="363"/>
      <c r="H58" s="363">
        <f>+H53-H44</f>
        <v>1573</v>
      </c>
      <c r="I58" s="274"/>
      <c r="J58" s="334">
        <f t="shared" si="4"/>
        <v>0.7707006369426752</v>
      </c>
    </row>
    <row r="59" spans="1:10" ht="12.75">
      <c r="A59" s="310" t="s">
        <v>219</v>
      </c>
      <c r="E59" s="320"/>
      <c r="F59" s="282">
        <v>446</v>
      </c>
      <c r="G59" s="283"/>
      <c r="H59" s="284"/>
      <c r="I59" s="287"/>
      <c r="J59" s="345">
        <f t="shared" si="4"/>
        <v>0</v>
      </c>
    </row>
    <row r="60" spans="1:10" ht="13.5" thickBot="1">
      <c r="A60" s="364" t="s">
        <v>220</v>
      </c>
      <c r="B60" s="365"/>
      <c r="C60" s="365"/>
      <c r="D60" s="365"/>
      <c r="E60" s="348"/>
      <c r="F60" s="349">
        <f>+F58-F59</f>
        <v>1595</v>
      </c>
      <c r="G60" s="346"/>
      <c r="H60" s="350">
        <f>+H58-H59</f>
        <v>1573</v>
      </c>
      <c r="I60" s="366"/>
      <c r="J60" s="367">
        <f t="shared" si="4"/>
        <v>0.9862068965517241</v>
      </c>
    </row>
    <row r="61" ht="12.75">
      <c r="A61" s="310"/>
    </row>
    <row r="62" spans="1:10" ht="15.75">
      <c r="A62" s="368" t="s">
        <v>229</v>
      </c>
      <c r="B62" s="368"/>
      <c r="C62" s="368"/>
      <c r="D62" s="368"/>
      <c r="E62" s="368"/>
      <c r="F62" s="368"/>
      <c r="G62" s="368"/>
      <c r="H62" s="368"/>
      <c r="I62" s="368"/>
      <c r="J62" s="368"/>
    </row>
    <row r="63" ht="13.5" thickBot="1"/>
    <row r="64" spans="1:10" ht="13.5" thickBot="1">
      <c r="A64" s="301" t="s">
        <v>230</v>
      </c>
      <c r="B64" s="319"/>
      <c r="C64" s="319"/>
      <c r="D64" s="319"/>
      <c r="E64" s="326" t="s">
        <v>186</v>
      </c>
      <c r="F64" s="327"/>
      <c r="G64" s="266" t="s">
        <v>238</v>
      </c>
      <c r="H64" s="267"/>
      <c r="I64" s="369" t="s">
        <v>187</v>
      </c>
      <c r="J64" s="329"/>
    </row>
    <row r="65" spans="1:10" ht="12.75">
      <c r="A65" s="370" t="s">
        <v>231</v>
      </c>
      <c r="B65" s="271"/>
      <c r="C65" s="271"/>
      <c r="D65" s="271"/>
      <c r="E65" s="371"/>
      <c r="F65" s="372">
        <v>87342</v>
      </c>
      <c r="G65" s="373"/>
      <c r="H65" s="374">
        <v>42760</v>
      </c>
      <c r="I65" s="325"/>
      <c r="J65" s="355">
        <f>+H65/F65</f>
        <v>0.48956973735430837</v>
      </c>
    </row>
    <row r="66" spans="1:10" ht="13.5" thickBot="1">
      <c r="A66" s="283" t="s">
        <v>232</v>
      </c>
      <c r="B66" s="246"/>
      <c r="C66" s="246"/>
      <c r="D66" s="246"/>
      <c r="E66" s="375"/>
      <c r="F66" s="376">
        <v>7351</v>
      </c>
      <c r="G66" s="377"/>
      <c r="H66" s="378">
        <v>3399</v>
      </c>
      <c r="I66" s="290"/>
      <c r="J66" s="356">
        <f>+H66/F66</f>
        <v>0.4623860699224595</v>
      </c>
    </row>
    <row r="67" spans="1:10" ht="13.5" thickBot="1">
      <c r="A67" s="301" t="s">
        <v>233</v>
      </c>
      <c r="B67" s="333"/>
      <c r="C67" s="333"/>
      <c r="D67" s="333"/>
      <c r="E67" s="379"/>
      <c r="F67" s="380">
        <f>+F66/F65*100</f>
        <v>8.416340363170068</v>
      </c>
      <c r="G67" s="381"/>
      <c r="H67" s="382">
        <f>+H66/H65*100</f>
        <v>7.949017773620206</v>
      </c>
      <c r="I67" s="354"/>
      <c r="J67" s="334">
        <f>+H67/F67</f>
        <v>0.9444743713556467</v>
      </c>
    </row>
    <row r="68" spans="1:8" ht="14.25" customHeight="1" thickBot="1">
      <c r="A68" s="246"/>
      <c r="B68" s="246"/>
      <c r="C68" s="246"/>
      <c r="D68" s="246"/>
      <c r="E68" s="246"/>
      <c r="F68" s="246"/>
      <c r="G68" s="246"/>
      <c r="H68" s="383"/>
    </row>
    <row r="69" spans="1:10" ht="13.5" thickBot="1">
      <c r="A69" s="301" t="s">
        <v>234</v>
      </c>
      <c r="B69" s="319"/>
      <c r="C69" s="319"/>
      <c r="D69" s="319"/>
      <c r="E69" s="326" t="s">
        <v>186</v>
      </c>
      <c r="F69" s="327"/>
      <c r="G69" s="266" t="s">
        <v>238</v>
      </c>
      <c r="H69" s="267"/>
      <c r="I69" s="369" t="s">
        <v>187</v>
      </c>
      <c r="J69" s="329"/>
    </row>
    <row r="70" spans="1:10" ht="12.75">
      <c r="A70" s="370" t="s">
        <v>235</v>
      </c>
      <c r="B70" s="271"/>
      <c r="C70" s="271"/>
      <c r="D70" s="271"/>
      <c r="E70" s="371"/>
      <c r="F70" s="372">
        <v>45616</v>
      </c>
      <c r="G70" s="373"/>
      <c r="H70" s="374">
        <f>41982+619</f>
        <v>42601</v>
      </c>
      <c r="I70" s="325"/>
      <c r="J70" s="355">
        <f>+H70/F70</f>
        <v>0.9339047702560505</v>
      </c>
    </row>
    <row r="71" spans="1:10" ht="13.5" thickBot="1">
      <c r="A71" s="283" t="s">
        <v>236</v>
      </c>
      <c r="B71" s="246"/>
      <c r="C71" s="246"/>
      <c r="D71" s="246"/>
      <c r="E71" s="375"/>
      <c r="F71" s="376">
        <v>3000</v>
      </c>
      <c r="G71" s="377"/>
      <c r="H71" s="378">
        <v>13600</v>
      </c>
      <c r="I71" s="290"/>
      <c r="J71" s="356">
        <f>+H71/F71</f>
        <v>4.533333333333333</v>
      </c>
    </row>
    <row r="72" spans="1:10" ht="13.5" thickBot="1">
      <c r="A72" s="301" t="s">
        <v>8</v>
      </c>
      <c r="B72" s="333"/>
      <c r="C72" s="333"/>
      <c r="D72" s="333"/>
      <c r="E72" s="379"/>
      <c r="F72" s="384">
        <f>SUM(F70:F71)</f>
        <v>48616</v>
      </c>
      <c r="G72" s="385"/>
      <c r="H72" s="384">
        <f>SUM(H70:H71)</f>
        <v>56201</v>
      </c>
      <c r="I72" s="354"/>
      <c r="J72" s="334">
        <f>+H72/F72</f>
        <v>1.1560185947013328</v>
      </c>
    </row>
  </sheetData>
  <sheetProtection/>
  <mergeCells count="22">
    <mergeCell ref="A62:J62"/>
    <mergeCell ref="E64:F64"/>
    <mergeCell ref="G64:H64"/>
    <mergeCell ref="I64:J64"/>
    <mergeCell ref="E69:F69"/>
    <mergeCell ref="G69:H69"/>
    <mergeCell ref="I69:J69"/>
    <mergeCell ref="A25:J25"/>
    <mergeCell ref="E27:F27"/>
    <mergeCell ref="G27:H27"/>
    <mergeCell ref="I27:J27"/>
    <mergeCell ref="A41:J41"/>
    <mergeCell ref="E43:F43"/>
    <mergeCell ref="G43:H43"/>
    <mergeCell ref="I43:J43"/>
    <mergeCell ref="A1:J1"/>
    <mergeCell ref="E3:F3"/>
    <mergeCell ref="G3:H3"/>
    <mergeCell ref="I3:J3"/>
    <mergeCell ref="E14:F14"/>
    <mergeCell ref="G14:H14"/>
    <mergeCell ref="I14:J14"/>
  </mergeCells>
  <printOptions/>
  <pageMargins left="0.9448818897637796" right="0.7086614173228347" top="0.5118110236220472" bottom="0.5118110236220472" header="0.31496062992125984" footer="0.2755905511811024"/>
  <pageSetup horizontalDpi="600" verticalDpi="600" orientation="portrait" paperSize="9" scale="82" r:id="rId1"/>
  <headerFooter alignWithMargins="0">
    <oddHeader>&amp;CNávrh závěrečného účtu města Blovice na r. 2013</oddHeader>
    <oddFooter>&amp;Lvyvěšeno: 
sejmuto:&amp;Rsestavil: Ing.Hodek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2014-07-22T12:21:12Z</cp:lastPrinted>
  <dcterms:created xsi:type="dcterms:W3CDTF">2013-05-23T11:23:45Z</dcterms:created>
  <dcterms:modified xsi:type="dcterms:W3CDTF">2014-07-22T12:21:19Z</dcterms:modified>
  <cp:category/>
  <cp:version/>
  <cp:contentType/>
  <cp:contentStatus/>
</cp:coreProperties>
</file>