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145" activeTab="0"/>
  </bookViews>
  <sheets>
    <sheet name="příjmy_výdaje" sheetId="1" r:id="rId1"/>
    <sheet name="graf" sheetId="2" r:id="rId2"/>
    <sheet name="Rozvaha, ZaZ, dluh.služba" sheetId="3" r:id="rId3"/>
    <sheet name="MěÚ" sheetId="4" r:id="rId4"/>
    <sheet name="lesy" sheetId="5" r:id="rId5"/>
  </sheets>
  <definedNames>
    <definedName name="_xlnm.Print_Area" localSheetId="1">'graf'!$A$1:$T$38</definedName>
    <definedName name="_xlnm.Print_Area" localSheetId="4">'lesy'!$A$1:$E$47</definedName>
    <definedName name="_xlnm.Print_Area" localSheetId="0">'příjmy_výdaje'!$A$1:$O$136</definedName>
    <definedName name="_xlnm.Print_Area" localSheetId="2">'Rozvaha, ZaZ, dluh.služba'!$A$1:$J$72</definedName>
  </definedNames>
  <calcPr fullCalcOnLoad="1"/>
</workbook>
</file>

<file path=xl/sharedStrings.xml><?xml version="1.0" encoding="utf-8"?>
<sst xmlns="http://schemas.openxmlformats.org/spreadsheetml/2006/main" count="547" uniqueCount="380">
  <si>
    <t xml:space="preserve">Příjmy - tis.Kč </t>
  </si>
  <si>
    <t>rozpočet 2012</t>
  </si>
  <si>
    <t>I.úprava</t>
  </si>
  <si>
    <t>II.úprava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</si>
  <si>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</si>
  <si>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</si>
  <si>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</si>
  <si>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</si>
  <si>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</si>
  <si>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</si>
  <si>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</si>
  <si>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</si>
  <si>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knihovna - PK</t>
  </si>
  <si>
    <t>dotace z UP na mzdy</t>
  </si>
  <si>
    <t>státní správa lesů</t>
  </si>
  <si>
    <t>vzdělávací program ZŠ (EU)</t>
  </si>
  <si>
    <t>oprava kolowratské kaple</t>
  </si>
  <si>
    <t>inv.dotace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</si>
  <si>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</si>
  <si>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</si>
  <si>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</si>
  <si>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</si>
  <si>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</si>
  <si>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</si>
  <si>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</si>
  <si>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</si>
  <si>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</si>
  <si>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</si>
  <si>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</si>
  <si>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</si>
  <si>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</si>
  <si>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</si>
  <si>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</si>
  <si>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</si>
  <si>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</si>
  <si>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</si>
  <si>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</si>
  <si>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</si>
  <si>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</si>
  <si>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</si>
  <si>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</si>
  <si>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</si>
  <si>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</si>
  <si>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</si>
  <si>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</si>
  <si>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</si>
  <si>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</si>
  <si>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</si>
  <si>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</si>
  <si>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</si>
  <si>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</si>
  <si>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</si>
  <si>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</si>
  <si>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</si>
  <si>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</si>
  <si>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</si>
  <si>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</si>
  <si>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</si>
  <si>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</si>
  <si>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</si>
  <si>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</si>
  <si>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</si>
  <si>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</si>
  <si>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</si>
  <si>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</si>
  <si>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</si>
  <si>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běžné příjmy</t>
  </si>
  <si>
    <t xml:space="preserve">Výdaje - tis.Kč </t>
  </si>
  <si>
    <t>ŠKOLSTVÍ</t>
  </si>
  <si>
    <t>ZŠ-ŠJ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</si>
  <si>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</si>
  <si>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</si>
  <si>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</si>
  <si>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</si>
  <si>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</si>
  <si>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</si>
  <si>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</si>
  <si>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</si>
  <si>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</si>
  <si>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</si>
  <si>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 xml:space="preserve">knihovna </t>
  </si>
  <si>
    <t>knihovna nákup knih</t>
  </si>
  <si>
    <t>ost.spolky+kult.akce</t>
  </si>
  <si>
    <t>ROZVOJ MĚSTA</t>
  </si>
  <si>
    <t>výtah DPS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</si>
  <si>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</si>
  <si>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</si>
  <si>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</si>
  <si>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</si>
  <si>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</si>
  <si>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</si>
  <si>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prac.četa města</t>
  </si>
  <si>
    <t>věř.osvětlení</t>
  </si>
  <si>
    <t>JSDH Blovice - provoz (JPOIII)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</si>
  <si>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</si>
  <si>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</si>
  <si>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</si>
  <si>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</si>
  <si>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</si>
  <si>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</si>
  <si>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</si>
  <si>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státní správa lesů neinv.</t>
  </si>
  <si>
    <t>drobné opravy, služby</t>
  </si>
  <si>
    <t>SOC.VĚCI</t>
  </si>
  <si>
    <t>peč.služba</t>
  </si>
  <si>
    <t>CELKEM VÝDAJE PŘED KONS.</t>
  </si>
  <si>
    <t>CELKEM VÝDAJE PO KONS.</t>
  </si>
  <si>
    <t>běžné výdaje</t>
  </si>
  <si>
    <t>saldo běžného hosp.</t>
  </si>
  <si>
    <t>HV PO KONSOLIDACI</t>
  </si>
  <si>
    <t>podíl salda na běž.příjmech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</si>
  <si>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</si>
  <si>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</si>
  <si>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</si>
  <si>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</si>
  <si>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</si>
  <si>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</si>
  <si>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</si>
  <si>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</si>
  <si>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</si>
  <si>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</si>
  <si>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</si>
  <si>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sousoší Ukřižování - SZIF</t>
  </si>
  <si>
    <t>kotelna DPS</t>
  </si>
  <si>
    <t>nevyuž.dotace 2013</t>
  </si>
  <si>
    <t xml:space="preserve">ostatní </t>
  </si>
  <si>
    <t>veřejná zeleň pro zemní val</t>
  </si>
  <si>
    <t>¨¨¨¨¨¨¨¨¨¨¨¨¨¨¨¨¨¨¨¨¨¨¨¨¨¨¨¨¨¨¨¨¨¨¨¨¨¨¨¨¨¨¨¨¨¨¨¨¨¨¨¨¨¨¨¨¨¨¨¨¨¨¨¨</t>
  </si>
  <si>
    <t>mimoř.neinv.akce</t>
  </si>
  <si>
    <t xml:space="preserve">LESY </t>
  </si>
  <si>
    <t>zateplení sálu LD - OPŽP</t>
  </si>
  <si>
    <t>oslavy 730 let města Blovice</t>
  </si>
  <si>
    <t>optický kabel města</t>
  </si>
  <si>
    <t>prodeje staveb a ost. majetku</t>
  </si>
  <si>
    <t>výstavba sběr.dvora - OPŽP</t>
  </si>
  <si>
    <t xml:space="preserve">přírodní koupací biotop </t>
  </si>
  <si>
    <t>pojistné a bank.poplatky</t>
  </si>
  <si>
    <t>Přijaté úvěry krátkodobé</t>
  </si>
  <si>
    <t>odpadové hospodářství</t>
  </si>
  <si>
    <t>ZŠ-plavecká učebna, oprava</t>
  </si>
  <si>
    <t>chodník Luční (u mostu)</t>
  </si>
  <si>
    <t>ZŠ Blovice - projekt ROP</t>
  </si>
  <si>
    <t>MK Hájek - ul.5.května, PD</t>
  </si>
  <si>
    <t xml:space="preserve">sousoší Ukřižování </t>
  </si>
  <si>
    <t>TJ Sokol provoz a odd.nár.házená</t>
  </si>
  <si>
    <t>ZŠ provoz, projekty</t>
  </si>
  <si>
    <t>hasič.zbrojnice PD</t>
  </si>
  <si>
    <t>oprava chodby radnice</t>
  </si>
  <si>
    <t>oprava střechy a fasády radnice</t>
  </si>
  <si>
    <t>přírodní koupací biotop -ROP</t>
  </si>
  <si>
    <t>rekonstrukce ulice Branka - ROP</t>
  </si>
  <si>
    <t xml:space="preserve">plynofikace Komorno </t>
  </si>
  <si>
    <t>příspěvek na plyn.Komorno (RWE)</t>
  </si>
  <si>
    <t>revitalizace Raušarových sadů</t>
  </si>
  <si>
    <t xml:space="preserve">úpravy pod kostelem </t>
  </si>
  <si>
    <t>veřejná zeleň pro zemní val (OPŽP)</t>
  </si>
  <si>
    <t>kanalizace Branka, Jirotova</t>
  </si>
  <si>
    <t xml:space="preserve">zateplení sálu LD </t>
  </si>
  <si>
    <t>biotop - provoz</t>
  </si>
  <si>
    <t xml:space="preserve">sběrný dvůr Blovice </t>
  </si>
  <si>
    <t>modernizace sport.rekr.areálu (ROP)</t>
  </si>
  <si>
    <t>rekonstrukce věžice čp.137</t>
  </si>
  <si>
    <t>koupací biotop</t>
  </si>
  <si>
    <t>oprava MK Štítov</t>
  </si>
  <si>
    <t>rekonstrukce Jirotovy ulice</t>
  </si>
  <si>
    <t>výsledek 9/2014</t>
  </si>
  <si>
    <t>rozpočet - IV.úprava</t>
  </si>
  <si>
    <t>%</t>
  </si>
  <si>
    <t>Příjmy</t>
  </si>
  <si>
    <t>Dotace</t>
  </si>
  <si>
    <t>Daně</t>
  </si>
  <si>
    <t xml:space="preserve">Poplatky </t>
  </si>
  <si>
    <t>Prodeje</t>
  </si>
  <si>
    <t>Nájmy</t>
  </si>
  <si>
    <t>Lesy</t>
  </si>
  <si>
    <t>BH převod</t>
  </si>
  <si>
    <t>Zvl. příjmy</t>
  </si>
  <si>
    <t>Fondy po kons.</t>
  </si>
  <si>
    <t>CELKEM po kons.</t>
  </si>
  <si>
    <t>Výdaje</t>
  </si>
  <si>
    <t>Školství</t>
  </si>
  <si>
    <t>Správa MěÚ po kons.</t>
  </si>
  <si>
    <t>Kultura a sport</t>
  </si>
  <si>
    <t>Rozvoj města</t>
  </si>
  <si>
    <t>Údržba města</t>
  </si>
  <si>
    <t>Různé výdaje</t>
  </si>
  <si>
    <t>Soc.věci</t>
  </si>
  <si>
    <t xml:space="preserve">Příjmy - Výdaje </t>
  </si>
  <si>
    <t>ROZVAHA - PŘEHLED MAJETKU  MĚSTA BLOVICE  A JEHO ZDROJŮ</t>
  </si>
  <si>
    <t>AKTIVA v tis.Kč</t>
  </si>
  <si>
    <t>k 1.1.2014</t>
  </si>
  <si>
    <t>změna %</t>
  </si>
  <si>
    <t>Stálá aktiva:</t>
  </si>
  <si>
    <t>z toho:</t>
  </si>
  <si>
    <t>Dlouhodobý nehmotný majetek</t>
  </si>
  <si>
    <t>Dlouhodobý hmotný majetek</t>
  </si>
  <si>
    <t>Dlouhodobé pohledávky</t>
  </si>
  <si>
    <t>Oběžná aktiva:</t>
  </si>
  <si>
    <t>Zásoby</t>
  </si>
  <si>
    <t>Krátkodobé pohledávky</t>
  </si>
  <si>
    <t xml:space="preserve">Krátkodobý finanční majetek </t>
  </si>
  <si>
    <t>CELKEM AKTIVA</t>
  </si>
  <si>
    <t>PASIVA v tis.Kč</t>
  </si>
  <si>
    <t>Vlastní kapitál:</t>
  </si>
  <si>
    <t>Jmění účetní jednotky</t>
  </si>
  <si>
    <t>Fondy účetní jednotky</t>
  </si>
  <si>
    <t>Výsledek hospodaření</t>
  </si>
  <si>
    <t>Cizí zdroje:</t>
  </si>
  <si>
    <t xml:space="preserve">Dlouhodobé závazky </t>
  </si>
  <si>
    <t>Krátkodobé závazky</t>
  </si>
  <si>
    <t>CELKEM PASIVA</t>
  </si>
  <si>
    <t>VÝKAZ ZISKU A ZTRÁTY  - HLAVNÍ ČINNOST MĚSTA BLOVICE</t>
  </si>
  <si>
    <t>Název ukazatele v tis.Kč</t>
  </si>
  <si>
    <t>k 31.12.2013</t>
  </si>
  <si>
    <t>Účtová třída 5 (náklady) celkem</t>
  </si>
  <si>
    <t>náklady z činnosti</t>
  </si>
  <si>
    <t>finanční náklady</t>
  </si>
  <si>
    <t>náklady na transfery (dotace)</t>
  </si>
  <si>
    <t>Účtová třída 6 (výnosy) celkem</t>
  </si>
  <si>
    <t>výnosy z činnosti</t>
  </si>
  <si>
    <t>finanční výnosy</t>
  </si>
  <si>
    <t>výnosy z transferů (dotací)</t>
  </si>
  <si>
    <t>výnosy z daní a popl.</t>
  </si>
  <si>
    <t xml:space="preserve">Hospodářský výsledek </t>
  </si>
  <si>
    <t>daň z příjmů</t>
  </si>
  <si>
    <t>Hospodářský výsledek po zdanění</t>
  </si>
  <si>
    <t>VÝKAZ ZISKU A ZTRÁTY - BYTOVÉ HOSPODÁŘSTVÍ MĚSTA BLOVICE</t>
  </si>
  <si>
    <t>energie, mater.</t>
  </si>
  <si>
    <t>opravy</t>
  </si>
  <si>
    <t>služby</t>
  </si>
  <si>
    <t>odpisy</t>
  </si>
  <si>
    <t>jiné náklady</t>
  </si>
  <si>
    <t>výnosy z činnosti (pronájmy)</t>
  </si>
  <si>
    <t>výnosy z transferů</t>
  </si>
  <si>
    <t xml:space="preserve">DLUHOVÁ SLUŽBA A ZADLUŽENÍ MĚSTA BLOVICE </t>
  </si>
  <si>
    <t>Název ukazatele v tis.Kč - dluhová služba</t>
  </si>
  <si>
    <t>Příjmy po konsolidaci</t>
  </si>
  <si>
    <t>Dluhová služba (úroky, jistiny, leasing)</t>
  </si>
  <si>
    <t>Ukazatel dluhové služby (%)</t>
  </si>
  <si>
    <t>Název ukazatele v tis.Kč - úvěrová zadluženost</t>
  </si>
  <si>
    <t>Dlouhodobé úvěry a závazky</t>
  </si>
  <si>
    <t>Krátkodobé úvěry</t>
  </si>
  <si>
    <t>FONDOVÉ HOSPODAŘENÍ (SOC.FOND + FRR)</t>
  </si>
  <si>
    <t>Opravné položky k peň.operacím</t>
  </si>
  <si>
    <t>oprava kolowratské kaple + ost.</t>
  </si>
  <si>
    <t>Lesy města Blovice -  výsledek hospodaření k 30.09.2014</t>
  </si>
  <si>
    <t xml:space="preserve">Příjmy z lesního hosp.vč.dotací </t>
  </si>
  <si>
    <t>č.pol.</t>
  </si>
  <si>
    <t>položka</t>
  </si>
  <si>
    <t>částka v Kč</t>
  </si>
  <si>
    <t>př.z poskyt.služeb a výr.</t>
  </si>
  <si>
    <t>nein.dotace z kraje</t>
  </si>
  <si>
    <t>rozpočet (úprava)</t>
  </si>
  <si>
    <t>plnění</t>
  </si>
  <si>
    <t>Výdaje v lesním hosp.</t>
  </si>
  <si>
    <t>platy zaměstnanců</t>
  </si>
  <si>
    <t>ost.osob.výdaje</t>
  </si>
  <si>
    <t>odstupné</t>
  </si>
  <si>
    <t>soc. pojištění</t>
  </si>
  <si>
    <t>zdrav. pojištění</t>
  </si>
  <si>
    <t>ochr.pomůcky</t>
  </si>
  <si>
    <t>zdrav.mater.</t>
  </si>
  <si>
    <t>DHDM</t>
  </si>
  <si>
    <t>nákup materiálu</t>
  </si>
  <si>
    <t>PHM</t>
  </si>
  <si>
    <t>tel.popl.</t>
  </si>
  <si>
    <t>služby peněž.ústavů</t>
  </si>
  <si>
    <t>školení</t>
  </si>
  <si>
    <t>nákup služeb + ost.</t>
  </si>
  <si>
    <t>opravy a udrž.</t>
  </si>
  <si>
    <t>cestovné</t>
  </si>
  <si>
    <t>pohoštění</t>
  </si>
  <si>
    <t>platby daní a popl.</t>
  </si>
  <si>
    <t>náhrady mezd</t>
  </si>
  <si>
    <t>vyčerpáno</t>
  </si>
  <si>
    <t>Výsledek hospodaření (P-V)</t>
  </si>
  <si>
    <t>plán (rozpočet)</t>
  </si>
  <si>
    <t>rozdíl</t>
  </si>
  <si>
    <t>k 30.9.2014</t>
  </si>
  <si>
    <t>položka výdajů v tis.Kč</t>
  </si>
  <si>
    <t>par.</t>
  </si>
  <si>
    <t>pol.</t>
  </si>
  <si>
    <t>rozpočet 2014</t>
  </si>
  <si>
    <t>úpr.rozp.2014</t>
  </si>
  <si>
    <t>výsledek 6/2014</t>
  </si>
  <si>
    <t>Zastupitestvo:</t>
  </si>
  <si>
    <t>odměny</t>
  </si>
  <si>
    <t>soc.poj.</t>
  </si>
  <si>
    <t>zdrav.poj.</t>
  </si>
  <si>
    <t>ost.nákupy</t>
  </si>
  <si>
    <t>celkem zastupitelstvo</t>
  </si>
  <si>
    <t>!!!</t>
  </si>
  <si>
    <t>Volby do EP:</t>
  </si>
  <si>
    <t>materiál</t>
  </si>
  <si>
    <t>pevná paliva</t>
  </si>
  <si>
    <t>služby telekomunikací</t>
  </si>
  <si>
    <t>nájemné</t>
  </si>
  <si>
    <t>celkem:</t>
  </si>
  <si>
    <t>Měú provoz:</t>
  </si>
  <si>
    <t>Platy zaměstnanců</t>
  </si>
  <si>
    <t>platy - dotace ÚP (p.Pavlicová)</t>
  </si>
  <si>
    <t>platy OSPOD - dotace (UZ)</t>
  </si>
  <si>
    <t>Ost.os.výdaje</t>
  </si>
  <si>
    <t xml:space="preserve">Pov.poj. na soc.zab. </t>
  </si>
  <si>
    <t>Pov.poj. na zdrav.poj.</t>
  </si>
  <si>
    <t>Ost.pov.poj.hrazené zaměstnavatelem</t>
  </si>
  <si>
    <t>Odměny za užití duš.vlastnictví</t>
  </si>
  <si>
    <t>nákup zdrav.mat.</t>
  </si>
  <si>
    <t>prádlo, oděv</t>
  </si>
  <si>
    <t>Knihy, uč.pomůcky, tisk</t>
  </si>
  <si>
    <t>Nákup zboží</t>
  </si>
  <si>
    <t>Nákup materiálu</t>
  </si>
  <si>
    <t>!!!!</t>
  </si>
  <si>
    <t>Voda</t>
  </si>
  <si>
    <t>Plyn</t>
  </si>
  <si>
    <t>Elektrická energie</t>
  </si>
  <si>
    <t>Služby pošt</t>
  </si>
  <si>
    <t>Služby peň.ústavů</t>
  </si>
  <si>
    <t>Nájemné</t>
  </si>
  <si>
    <t>Konzult.,poradenské a práv.služby</t>
  </si>
  <si>
    <t>Služby školení a vzdělávání</t>
  </si>
  <si>
    <t>Nákup služeb</t>
  </si>
  <si>
    <t>!</t>
  </si>
  <si>
    <t>Opravy a udržování</t>
  </si>
  <si>
    <t>Cestovné</t>
  </si>
  <si>
    <t>Pohoštění</t>
  </si>
  <si>
    <t>popl.konference</t>
  </si>
  <si>
    <t>Ost.nákupy</t>
  </si>
  <si>
    <t>pokladna</t>
  </si>
  <si>
    <t>zapl.sankce</t>
  </si>
  <si>
    <t>Neinv.náhrady</t>
  </si>
  <si>
    <t>Věcné dary</t>
  </si>
  <si>
    <t>Neinv.dotace fyz.osobám</t>
  </si>
  <si>
    <t>neinv.dotace obč.sdružením</t>
  </si>
  <si>
    <t>Ost.neinv.dotace</t>
  </si>
  <si>
    <t>Nákup kolků</t>
  </si>
  <si>
    <t>Platby daní a poplatků</t>
  </si>
  <si>
    <t>Náhrady mezd</t>
  </si>
  <si>
    <t>dary obyv.</t>
  </si>
  <si>
    <t>ost.neinv.transfery FO</t>
  </si>
  <si>
    <t>ost.nein.výdaje nezař.</t>
  </si>
  <si>
    <t>celkem Měú</t>
  </si>
  <si>
    <t>MěÚ pěstounská péče:</t>
  </si>
  <si>
    <t>soc.pojištění</t>
  </si>
  <si>
    <t>celkem pěstounská péče:</t>
  </si>
  <si>
    <t>Krizové řízení - rezerva</t>
  </si>
  <si>
    <t>Převody SF</t>
  </si>
  <si>
    <t>ICT:</t>
  </si>
  <si>
    <t>knihy</t>
  </si>
  <si>
    <t>Nákup mat.</t>
  </si>
  <si>
    <t>Služby telekom. a radiokom.</t>
  </si>
  <si>
    <t>!!</t>
  </si>
  <si>
    <t>Zpracování dat ICT</t>
  </si>
  <si>
    <t>Programové vybavení - neinv.</t>
  </si>
  <si>
    <t>E-SPIS:</t>
  </si>
  <si>
    <t>nákup služeb</t>
  </si>
  <si>
    <t xml:space="preserve">celkem ICT + E-SPIS </t>
  </si>
  <si>
    <t>MěÚ investice</t>
  </si>
  <si>
    <t>Rekonstrukce střechy a fasády</t>
  </si>
  <si>
    <t>Oprava chodby radnice org.0001</t>
  </si>
  <si>
    <t>Dlouh.nehmot.majetek org.0012</t>
  </si>
  <si>
    <t>Nárožní věžice čp.137</t>
  </si>
  <si>
    <t>IOP - "Blovice - informační služby"</t>
  </si>
  <si>
    <t>Optický kabel org.0012</t>
  </si>
  <si>
    <t>celkem investice</t>
  </si>
  <si>
    <t>REKAPITULACE:</t>
  </si>
  <si>
    <t>Zastupitelstvo</t>
  </si>
  <si>
    <t>5xxx</t>
  </si>
  <si>
    <t>volby - dotace</t>
  </si>
  <si>
    <t>61xx</t>
  </si>
  <si>
    <t>MěÚ provoz</t>
  </si>
  <si>
    <t>MěÚ pěstounská péče</t>
  </si>
  <si>
    <t>ICT+eSPIS</t>
  </si>
  <si>
    <t>org12</t>
  </si>
  <si>
    <t>Měú investice</t>
  </si>
  <si>
    <t>xxxx</t>
  </si>
  <si>
    <t>Měú celkem bez investic</t>
  </si>
  <si>
    <t>6171 neinvestiční</t>
  </si>
  <si>
    <t>6171 mzdové</t>
  </si>
  <si>
    <t>50xx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</si>
</sst>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_-* #,##0\ &quot;Kč&quot;_-;\-* #,##0\ &quot;Kč&quot;_-;_-* &quot;-&quot;??\ &quot;Kč&quot;_-;_-@_-"/>
  </numFmts>
  <fonts count="73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2"/>
    </font>
    <font>
      <sz val="13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.7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.75"/>
      <color indexed="8"/>
      <name val="Arial"/>
      <family val="2"/>
    </font>
    <font>
      <b/>
      <sz val="10.75"/>
      <color indexed="8"/>
      <name val="Arial"/>
      <family val="2"/>
    </font>
    <font>
      <b/>
      <sz val="11.5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" fontId="2" fillId="0" borderId="3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2" fillId="0" borderId="2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65" fontId="0" fillId="0" borderId="0" xfId="55" applyNumberFormat="1" applyFont="1" applyAlignment="1">
      <alignment/>
    </xf>
    <xf numFmtId="1" fontId="3" fillId="0" borderId="36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46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50" xfId="51" applyFont="1" applyBorder="1">
      <alignment/>
      <protection/>
    </xf>
    <xf numFmtId="1" fontId="2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2" fontId="0" fillId="0" borderId="0" xfId="0" applyNumberFormat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3" fillId="0" borderId="33" xfId="0" applyNumberFormat="1" applyFont="1" applyFill="1" applyBorder="1" applyAlignment="1" applyProtection="1">
      <alignment/>
      <protection locked="0"/>
    </xf>
    <xf numFmtId="164" fontId="3" fillId="0" borderId="33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2" fillId="0" borderId="56" xfId="51" applyNumberFormat="1" applyFont="1" applyBorder="1">
      <alignment/>
      <protection/>
    </xf>
    <xf numFmtId="164" fontId="6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/>
      <protection locked="0"/>
    </xf>
    <xf numFmtId="164" fontId="2" fillId="0" borderId="3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57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3" fillId="0" borderId="15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56" xfId="51" applyNumberFormat="1" applyFont="1" applyBorder="1">
      <alignment/>
      <protection/>
    </xf>
    <xf numFmtId="1" fontId="3" fillId="0" borderId="35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65" fontId="6" fillId="0" borderId="0" xfId="55" applyNumberFormat="1" applyFont="1" applyFill="1" applyBorder="1" applyAlignment="1">
      <alignment/>
    </xf>
    <xf numFmtId="165" fontId="5" fillId="0" borderId="0" xfId="55" applyNumberFormat="1" applyFont="1" applyFill="1" applyBorder="1" applyAlignment="1">
      <alignment/>
    </xf>
    <xf numFmtId="0" fontId="2" fillId="0" borderId="41" xfId="53" applyBorder="1" applyAlignment="1">
      <alignment horizontal="right"/>
      <protection/>
    </xf>
    <xf numFmtId="0" fontId="2" fillId="0" borderId="0" xfId="53">
      <alignment/>
      <protection/>
    </xf>
    <xf numFmtId="0" fontId="3" fillId="0" borderId="34" xfId="53" applyFont="1" applyBorder="1">
      <alignment/>
      <protection/>
    </xf>
    <xf numFmtId="0" fontId="3" fillId="0" borderId="23" xfId="53" applyFont="1" applyBorder="1">
      <alignment/>
      <protection/>
    </xf>
    <xf numFmtId="1" fontId="2" fillId="0" borderId="36" xfId="53" applyNumberFormat="1" applyFont="1" applyBorder="1">
      <alignment/>
      <protection/>
    </xf>
    <xf numFmtId="0" fontId="3" fillId="0" borderId="22" xfId="53" applyFont="1" applyBorder="1">
      <alignment/>
      <protection/>
    </xf>
    <xf numFmtId="0" fontId="3" fillId="0" borderId="38" xfId="53" applyFont="1" applyBorder="1">
      <alignment/>
      <protection/>
    </xf>
    <xf numFmtId="0" fontId="3" fillId="0" borderId="39" xfId="53" applyFont="1" applyBorder="1">
      <alignment/>
      <protection/>
    </xf>
    <xf numFmtId="1" fontId="3" fillId="0" borderId="41" xfId="53" applyNumberFormat="1" applyFont="1" applyBorder="1">
      <alignment/>
      <protection/>
    </xf>
    <xf numFmtId="0" fontId="3" fillId="0" borderId="0" xfId="53" applyFont="1" applyBorder="1">
      <alignment/>
      <protection/>
    </xf>
    <xf numFmtId="0" fontId="2" fillId="0" borderId="0" xfId="53" applyBorder="1">
      <alignment/>
      <protection/>
    </xf>
    <xf numFmtId="0" fontId="2" fillId="0" borderId="0" xfId="53" applyAlignment="1">
      <alignment horizontal="right"/>
      <protection/>
    </xf>
    <xf numFmtId="0" fontId="3" fillId="0" borderId="35" xfId="53" applyFont="1" applyBorder="1">
      <alignment/>
      <protection/>
    </xf>
    <xf numFmtId="0" fontId="3" fillId="0" borderId="23" xfId="53" applyFont="1" applyFill="1" applyBorder="1">
      <alignment/>
      <protection/>
    </xf>
    <xf numFmtId="0" fontId="3" fillId="0" borderId="25" xfId="53" applyFont="1" applyFill="1" applyBorder="1">
      <alignment/>
      <protection/>
    </xf>
    <xf numFmtId="0" fontId="3" fillId="0" borderId="26" xfId="53" applyFont="1" applyBorder="1">
      <alignment/>
      <protection/>
    </xf>
    <xf numFmtId="0" fontId="3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1" fontId="3" fillId="0" borderId="46" xfId="53" applyNumberFormat="1" applyFont="1" applyBorder="1">
      <alignment/>
      <protection/>
    </xf>
    <xf numFmtId="0" fontId="15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16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/>
      <protection/>
    </xf>
    <xf numFmtId="0" fontId="16" fillId="0" borderId="11" xfId="53" applyFont="1" applyFill="1" applyBorder="1" applyAlignment="1">
      <alignment horizontal="center"/>
      <protection/>
    </xf>
    <xf numFmtId="0" fontId="16" fillId="0" borderId="46" xfId="53" applyFont="1" applyFill="1" applyBorder="1" applyAlignment="1">
      <alignment horizontal="center"/>
      <protection/>
    </xf>
    <xf numFmtId="0" fontId="4" fillId="0" borderId="20" xfId="53" applyFont="1" applyFill="1" applyBorder="1">
      <alignment/>
      <protection/>
    </xf>
    <xf numFmtId="0" fontId="2" fillId="0" borderId="58" xfId="53" applyBorder="1">
      <alignment/>
      <protection/>
    </xf>
    <xf numFmtId="0" fontId="2" fillId="0" borderId="10" xfId="53" applyFont="1" applyBorder="1">
      <alignment/>
      <protection/>
    </xf>
    <xf numFmtId="0" fontId="2" fillId="0" borderId="46" xfId="53" applyFont="1" applyBorder="1">
      <alignment/>
      <protection/>
    </xf>
    <xf numFmtId="0" fontId="2" fillId="0" borderId="10" xfId="53" applyFill="1" applyBorder="1">
      <alignment/>
      <protection/>
    </xf>
    <xf numFmtId="0" fontId="3" fillId="0" borderId="46" xfId="53" applyFont="1" applyFill="1" applyBorder="1">
      <alignment/>
      <protection/>
    </xf>
    <xf numFmtId="165" fontId="2" fillId="0" borderId="10" xfId="53" applyNumberFormat="1" applyBorder="1">
      <alignment/>
      <protection/>
    </xf>
    <xf numFmtId="165" fontId="2" fillId="0" borderId="46" xfId="56" applyNumberFormat="1" applyFont="1" applyBorder="1" applyAlignment="1">
      <alignment/>
    </xf>
    <xf numFmtId="0" fontId="2" fillId="0" borderId="20" xfId="53" applyFont="1" applyBorder="1">
      <alignment/>
      <protection/>
    </xf>
    <xf numFmtId="0" fontId="2" fillId="0" borderId="58" xfId="53" applyFont="1" applyFill="1" applyBorder="1">
      <alignment/>
      <protection/>
    </xf>
    <xf numFmtId="0" fontId="2" fillId="0" borderId="59" xfId="53" applyBorder="1">
      <alignment/>
      <protection/>
    </xf>
    <xf numFmtId="0" fontId="2" fillId="0" borderId="0" xfId="53" applyFont="1" applyBorder="1">
      <alignment/>
      <protection/>
    </xf>
    <xf numFmtId="0" fontId="2" fillId="0" borderId="60" xfId="53" applyFont="1" applyBorder="1">
      <alignment/>
      <protection/>
    </xf>
    <xf numFmtId="0" fontId="3" fillId="0" borderId="47" xfId="53" applyFont="1" applyBorder="1">
      <alignment/>
      <protection/>
    </xf>
    <xf numFmtId="0" fontId="3" fillId="0" borderId="60" xfId="53" applyFont="1" applyBorder="1">
      <alignment/>
      <protection/>
    </xf>
    <xf numFmtId="165" fontId="2" fillId="0" borderId="47" xfId="53" applyNumberFormat="1" applyBorder="1">
      <alignment/>
      <protection/>
    </xf>
    <xf numFmtId="165" fontId="2" fillId="0" borderId="60" xfId="56" applyNumberFormat="1" applyFont="1" applyBorder="1" applyAlignment="1">
      <alignment/>
    </xf>
    <xf numFmtId="0" fontId="2" fillId="0" borderId="47" xfId="53" applyBorder="1">
      <alignment/>
      <protection/>
    </xf>
    <xf numFmtId="0" fontId="2" fillId="0" borderId="0" xfId="53" applyFont="1" applyFill="1" applyBorder="1">
      <alignment/>
      <protection/>
    </xf>
    <xf numFmtId="0" fontId="2" fillId="0" borderId="60" xfId="53" applyBorder="1">
      <alignment/>
      <protection/>
    </xf>
    <xf numFmtId="0" fontId="2" fillId="0" borderId="45" xfId="53" applyBorder="1">
      <alignment/>
      <protection/>
    </xf>
    <xf numFmtId="0" fontId="2" fillId="0" borderId="61" xfId="53" applyFont="1" applyFill="1" applyBorder="1">
      <alignment/>
      <protection/>
    </xf>
    <xf numFmtId="0" fontId="2" fillId="0" borderId="61" xfId="53" applyBorder="1">
      <alignment/>
      <protection/>
    </xf>
    <xf numFmtId="0" fontId="2" fillId="0" borderId="54" xfId="53" applyBorder="1">
      <alignment/>
      <protection/>
    </xf>
    <xf numFmtId="0" fontId="2" fillId="0" borderId="61" xfId="53" applyFont="1" applyBorder="1">
      <alignment/>
      <protection/>
    </xf>
    <xf numFmtId="0" fontId="2" fillId="0" borderId="54" xfId="53" applyFont="1" applyBorder="1">
      <alignment/>
      <protection/>
    </xf>
    <xf numFmtId="0" fontId="3" fillId="0" borderId="45" xfId="53" applyFont="1" applyBorder="1">
      <alignment/>
      <protection/>
    </xf>
    <xf numFmtId="0" fontId="3" fillId="0" borderId="54" xfId="53" applyFont="1" applyBorder="1">
      <alignment/>
      <protection/>
    </xf>
    <xf numFmtId="165" fontId="2" fillId="0" borderId="45" xfId="53" applyNumberFormat="1" applyBorder="1">
      <alignment/>
      <protection/>
    </xf>
    <xf numFmtId="165" fontId="2" fillId="0" borderId="54" xfId="56" applyNumberFormat="1" applyFont="1" applyBorder="1" applyAlignment="1">
      <alignment/>
    </xf>
    <xf numFmtId="0" fontId="2" fillId="0" borderId="58" xfId="53" applyFont="1" applyBorder="1">
      <alignment/>
      <protection/>
    </xf>
    <xf numFmtId="0" fontId="3" fillId="0" borderId="10" xfId="53" applyFont="1" applyBorder="1">
      <alignment/>
      <protection/>
    </xf>
    <xf numFmtId="0" fontId="3" fillId="0" borderId="46" xfId="53" applyFont="1" applyBorder="1">
      <alignment/>
      <protection/>
    </xf>
    <xf numFmtId="165" fontId="2" fillId="0" borderId="20" xfId="53" applyNumberFormat="1" applyBorder="1">
      <alignment/>
      <protection/>
    </xf>
    <xf numFmtId="0" fontId="3" fillId="0" borderId="45" xfId="53" applyFont="1" applyBorder="1">
      <alignment/>
      <protection/>
    </xf>
    <xf numFmtId="0" fontId="2" fillId="33" borderId="11" xfId="53" applyFont="1" applyFill="1" applyBorder="1">
      <alignment/>
      <protection/>
    </xf>
    <xf numFmtId="0" fontId="3" fillId="0" borderId="62" xfId="53" applyFont="1" applyFill="1" applyBorder="1">
      <alignment/>
      <protection/>
    </xf>
    <xf numFmtId="0" fontId="3" fillId="33" borderId="46" xfId="53" applyFont="1" applyFill="1" applyBorder="1">
      <alignment/>
      <protection/>
    </xf>
    <xf numFmtId="165" fontId="2" fillId="0" borderId="11" xfId="53" applyNumberFormat="1" applyBorder="1">
      <alignment/>
      <protection/>
    </xf>
    <xf numFmtId="165" fontId="3" fillId="0" borderId="46" xfId="56" applyNumberFormat="1" applyFont="1" applyBorder="1" applyAlignment="1">
      <alignment/>
    </xf>
    <xf numFmtId="0" fontId="2" fillId="0" borderId="0" xfId="53" applyFont="1">
      <alignment/>
      <protection/>
    </xf>
    <xf numFmtId="165" fontId="2" fillId="0" borderId="0" xfId="53" applyNumberFormat="1">
      <alignment/>
      <protection/>
    </xf>
    <xf numFmtId="0" fontId="18" fillId="0" borderId="11" xfId="53" applyFont="1" applyFill="1" applyBorder="1" applyAlignment="1">
      <alignment horizontal="center"/>
      <protection/>
    </xf>
    <xf numFmtId="0" fontId="2" fillId="0" borderId="11" xfId="53" applyFill="1" applyBorder="1">
      <alignment/>
      <protection/>
    </xf>
    <xf numFmtId="0" fontId="3" fillId="0" borderId="0" xfId="53" applyFont="1" applyBorder="1">
      <alignment/>
      <protection/>
    </xf>
    <xf numFmtId="0" fontId="3" fillId="0" borderId="61" xfId="53" applyFont="1" applyBorder="1">
      <alignment/>
      <protection/>
    </xf>
    <xf numFmtId="0" fontId="4" fillId="0" borderId="47" xfId="53" applyFont="1" applyFill="1" applyBorder="1">
      <alignment/>
      <protection/>
    </xf>
    <xf numFmtId="0" fontId="3" fillId="0" borderId="11" xfId="53" applyFont="1" applyBorder="1">
      <alignment/>
      <protection/>
    </xf>
    <xf numFmtId="0" fontId="2" fillId="0" borderId="47" xfId="53" applyFont="1" applyBorder="1">
      <alignment/>
      <protection/>
    </xf>
    <xf numFmtId="0" fontId="3" fillId="0" borderId="0" xfId="53" applyFont="1">
      <alignment/>
      <protection/>
    </xf>
    <xf numFmtId="0" fontId="2" fillId="33" borderId="46" xfId="53" applyFont="1" applyFill="1" applyBorder="1">
      <alignment/>
      <protection/>
    </xf>
    <xf numFmtId="0" fontId="3" fillId="0" borderId="46" xfId="53" applyFont="1" applyFill="1" applyBorder="1">
      <alignment/>
      <protection/>
    </xf>
    <xf numFmtId="0" fontId="3" fillId="0" borderId="20" xfId="53" applyFont="1" applyFill="1" applyBorder="1">
      <alignment/>
      <protection/>
    </xf>
    <xf numFmtId="0" fontId="2" fillId="0" borderId="20" xfId="53" applyBorder="1">
      <alignment/>
      <protection/>
    </xf>
    <xf numFmtId="0" fontId="2" fillId="0" borderId="62" xfId="53" applyFont="1" applyFill="1" applyBorder="1">
      <alignment/>
      <protection/>
    </xf>
    <xf numFmtId="0" fontId="2" fillId="0" borderId="46" xfId="53" applyFont="1" applyFill="1" applyBorder="1">
      <alignment/>
      <protection/>
    </xf>
    <xf numFmtId="0" fontId="3" fillId="0" borderId="62" xfId="53" applyFont="1" applyFill="1" applyBorder="1">
      <alignment/>
      <protection/>
    </xf>
    <xf numFmtId="0" fontId="2" fillId="0" borderId="11" xfId="53" applyBorder="1">
      <alignment/>
      <protection/>
    </xf>
    <xf numFmtId="9" fontId="3" fillId="0" borderId="46" xfId="56" applyFont="1" applyBorder="1" applyAlignment="1">
      <alignment/>
    </xf>
    <xf numFmtId="0" fontId="2" fillId="0" borderId="63" xfId="53" applyFont="1" applyFill="1" applyBorder="1">
      <alignment/>
      <protection/>
    </xf>
    <xf numFmtId="0" fontId="2" fillId="0" borderId="60" xfId="53" applyFont="1" applyFill="1" applyBorder="1">
      <alignment/>
      <protection/>
    </xf>
    <xf numFmtId="0" fontId="3" fillId="0" borderId="63" xfId="53" applyFont="1" applyFill="1" applyBorder="1">
      <alignment/>
      <protection/>
    </xf>
    <xf numFmtId="0" fontId="3" fillId="0" borderId="60" xfId="53" applyFont="1" applyFill="1" applyBorder="1">
      <alignment/>
      <protection/>
    </xf>
    <xf numFmtId="9" fontId="2" fillId="0" borderId="60" xfId="56" applyFont="1" applyBorder="1" applyAlignment="1">
      <alignment/>
    </xf>
    <xf numFmtId="0" fontId="2" fillId="0" borderId="57" xfId="53" applyFont="1" applyFill="1" applyBorder="1">
      <alignment/>
      <protection/>
    </xf>
    <xf numFmtId="0" fontId="2" fillId="0" borderId="54" xfId="53" applyFont="1" applyFill="1" applyBorder="1">
      <alignment/>
      <protection/>
    </xf>
    <xf numFmtId="0" fontId="3" fillId="0" borderId="57" xfId="53" applyFont="1" applyFill="1" applyBorder="1">
      <alignment/>
      <protection/>
    </xf>
    <xf numFmtId="0" fontId="3" fillId="0" borderId="54" xfId="53" applyFont="1" applyFill="1" applyBorder="1">
      <alignment/>
      <protection/>
    </xf>
    <xf numFmtId="0" fontId="3" fillId="33" borderId="46" xfId="53" applyFont="1" applyFill="1" applyBorder="1">
      <alignment/>
      <protection/>
    </xf>
    <xf numFmtId="9" fontId="2" fillId="0" borderId="48" xfId="56" applyFont="1" applyBorder="1" applyAlignment="1">
      <alignment/>
    </xf>
    <xf numFmtId="0" fontId="3" fillId="0" borderId="64" xfId="53" applyFont="1" applyBorder="1">
      <alignment/>
      <protection/>
    </xf>
    <xf numFmtId="0" fontId="2" fillId="0" borderId="65" xfId="53" applyBorder="1">
      <alignment/>
      <protection/>
    </xf>
    <xf numFmtId="0" fontId="2" fillId="0" borderId="64" xfId="53" applyFont="1" applyBorder="1">
      <alignment/>
      <protection/>
    </xf>
    <xf numFmtId="0" fontId="2" fillId="0" borderId="66" xfId="53" applyFont="1" applyBorder="1">
      <alignment/>
      <protection/>
    </xf>
    <xf numFmtId="0" fontId="3" fillId="0" borderId="66" xfId="53" applyFont="1" applyBorder="1">
      <alignment/>
      <protection/>
    </xf>
    <xf numFmtId="9" fontId="3" fillId="0" borderId="54" xfId="56" applyFont="1" applyBorder="1" applyAlignment="1">
      <alignment/>
    </xf>
    <xf numFmtId="9" fontId="2" fillId="0" borderId="0" xfId="56" applyFont="1" applyBorder="1" applyAlignment="1">
      <alignment/>
    </xf>
    <xf numFmtId="0" fontId="2" fillId="0" borderId="10" xfId="53" applyBorder="1">
      <alignment/>
      <protection/>
    </xf>
    <xf numFmtId="9" fontId="2" fillId="0" borderId="59" xfId="56" applyFont="1" applyBorder="1" applyAlignment="1">
      <alignment/>
    </xf>
    <xf numFmtId="9" fontId="2" fillId="0" borderId="54" xfId="56" applyFont="1" applyBorder="1" applyAlignment="1">
      <alignment/>
    </xf>
    <xf numFmtId="9" fontId="3" fillId="0" borderId="60" xfId="56" applyFont="1" applyBorder="1" applyAlignment="1">
      <alignment/>
    </xf>
    <xf numFmtId="0" fontId="2" fillId="0" borderId="20" xfId="53" applyFont="1" applyFill="1" applyBorder="1">
      <alignment/>
      <protection/>
    </xf>
    <xf numFmtId="0" fontId="3" fillId="0" borderId="67" xfId="53" applyFont="1" applyFill="1" applyBorder="1">
      <alignment/>
      <protection/>
    </xf>
    <xf numFmtId="0" fontId="2" fillId="0" borderId="47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2" fillId="33" borderId="62" xfId="53" applyFont="1" applyFill="1" applyBorder="1">
      <alignment/>
      <protection/>
    </xf>
    <xf numFmtId="0" fontId="3" fillId="33" borderId="62" xfId="53" applyFont="1" applyFill="1" applyBorder="1">
      <alignment/>
      <protection/>
    </xf>
    <xf numFmtId="0" fontId="3" fillId="0" borderId="24" xfId="53" applyFont="1" applyBorder="1">
      <alignment/>
      <protection/>
    </xf>
    <xf numFmtId="0" fontId="2" fillId="0" borderId="50" xfId="53" applyBorder="1">
      <alignment/>
      <protection/>
    </xf>
    <xf numFmtId="0" fontId="2" fillId="0" borderId="64" xfId="53" applyBorder="1">
      <alignment/>
      <protection/>
    </xf>
    <xf numFmtId="9" fontId="3" fillId="0" borderId="66" xfId="56" applyFont="1" applyBorder="1" applyAlignment="1">
      <alignment/>
    </xf>
    <xf numFmtId="0" fontId="3" fillId="0" borderId="20" xfId="53" applyFont="1" applyBorder="1">
      <alignment/>
      <protection/>
    </xf>
    <xf numFmtId="0" fontId="2" fillId="0" borderId="20" xfId="53" applyNumberFormat="1" applyFont="1" applyBorder="1">
      <alignment/>
      <protection/>
    </xf>
    <xf numFmtId="0" fontId="2" fillId="0" borderId="59" xfId="53" applyNumberFormat="1" applyFont="1" applyBorder="1">
      <alignment/>
      <protection/>
    </xf>
    <xf numFmtId="0" fontId="3" fillId="0" borderId="20" xfId="53" applyNumberFormat="1" applyFont="1" applyBorder="1">
      <alignment/>
      <protection/>
    </xf>
    <xf numFmtId="0" fontId="3" fillId="0" borderId="59" xfId="53" applyNumberFormat="1" applyFont="1" applyBorder="1">
      <alignment/>
      <protection/>
    </xf>
    <xf numFmtId="0" fontId="2" fillId="0" borderId="47" xfId="53" applyNumberFormat="1" applyFont="1" applyBorder="1">
      <alignment/>
      <protection/>
    </xf>
    <xf numFmtId="0" fontId="2" fillId="0" borderId="60" xfId="53" applyNumberFormat="1" applyFont="1" applyBorder="1">
      <alignment/>
      <protection/>
    </xf>
    <xf numFmtId="0" fontId="3" fillId="0" borderId="47" xfId="53" applyNumberFormat="1" applyFont="1" applyBorder="1">
      <alignment/>
      <protection/>
    </xf>
    <xf numFmtId="0" fontId="3" fillId="0" borderId="60" xfId="53" applyNumberFormat="1" applyFont="1" applyBorder="1">
      <alignment/>
      <protection/>
    </xf>
    <xf numFmtId="2" fontId="2" fillId="33" borderId="10" xfId="53" applyNumberFormat="1" applyFont="1" applyFill="1" applyBorder="1">
      <alignment/>
      <protection/>
    </xf>
    <xf numFmtId="2" fontId="2" fillId="33" borderId="46" xfId="53" applyNumberFormat="1" applyFont="1" applyFill="1" applyBorder="1">
      <alignment/>
      <protection/>
    </xf>
    <xf numFmtId="2" fontId="3" fillId="33" borderId="10" xfId="53" applyNumberFormat="1" applyFont="1" applyFill="1" applyBorder="1">
      <alignment/>
      <protection/>
    </xf>
    <xf numFmtId="2" fontId="3" fillId="33" borderId="46" xfId="53" applyNumberFormat="1" applyFont="1" applyFill="1" applyBorder="1">
      <alignment/>
      <protection/>
    </xf>
    <xf numFmtId="10" fontId="2" fillId="0" borderId="0" xfId="53" applyNumberFormat="1" applyBorder="1">
      <alignment/>
      <protection/>
    </xf>
    <xf numFmtId="1" fontId="3" fillId="33" borderId="46" xfId="53" applyNumberFormat="1" applyFont="1" applyFill="1" applyBorder="1">
      <alignment/>
      <protection/>
    </xf>
    <xf numFmtId="1" fontId="3" fillId="33" borderId="10" xfId="53" applyNumberFormat="1" applyFont="1" applyFill="1" applyBorder="1">
      <alignment/>
      <protection/>
    </xf>
    <xf numFmtId="0" fontId="0" fillId="0" borderId="0" xfId="49">
      <alignment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15" fillId="0" borderId="0" xfId="52" applyFont="1">
      <alignment/>
      <protection/>
    </xf>
    <xf numFmtId="165" fontId="15" fillId="0" borderId="0" xfId="56" applyNumberFormat="1" applyFont="1" applyAlignment="1">
      <alignment/>
    </xf>
    <xf numFmtId="0" fontId="2" fillId="0" borderId="0" xfId="52">
      <alignment/>
      <protection/>
    </xf>
    <xf numFmtId="0" fontId="15" fillId="0" borderId="12" xfId="52" applyFont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68" xfId="52" applyFont="1" applyBorder="1" applyAlignment="1">
      <alignment horizontal="center"/>
      <protection/>
    </xf>
    <xf numFmtId="0" fontId="21" fillId="0" borderId="17" xfId="52" applyFont="1" applyBorder="1">
      <alignment/>
      <protection/>
    </xf>
    <xf numFmtId="0" fontId="21" fillId="0" borderId="18" xfId="52" applyFont="1" applyBorder="1">
      <alignment/>
      <protection/>
    </xf>
    <xf numFmtId="166" fontId="21" fillId="0" borderId="18" xfId="40" applyNumberFormat="1" applyFont="1" applyBorder="1" applyAlignment="1">
      <alignment/>
    </xf>
    <xf numFmtId="0" fontId="21" fillId="0" borderId="21" xfId="52" applyFont="1" applyBorder="1">
      <alignment/>
      <protection/>
    </xf>
    <xf numFmtId="4" fontId="0" fillId="0" borderId="0" xfId="49" applyNumberFormat="1">
      <alignment/>
      <protection/>
    </xf>
    <xf numFmtId="0" fontId="21" fillId="0" borderId="30" xfId="52" applyFont="1" applyBorder="1">
      <alignment/>
      <protection/>
    </xf>
    <xf numFmtId="0" fontId="21" fillId="0" borderId="31" xfId="52" applyFont="1" applyBorder="1">
      <alignment/>
      <protection/>
    </xf>
    <xf numFmtId="166" fontId="21" fillId="0" borderId="31" xfId="40" applyNumberFormat="1" applyFont="1" applyBorder="1" applyAlignment="1">
      <alignment/>
    </xf>
    <xf numFmtId="0" fontId="2" fillId="0" borderId="33" xfId="52" applyBorder="1">
      <alignment/>
      <protection/>
    </xf>
    <xf numFmtId="0" fontId="15" fillId="0" borderId="45" xfId="52" applyFont="1" applyBorder="1">
      <alignment/>
      <protection/>
    </xf>
    <xf numFmtId="165" fontId="15" fillId="0" borderId="61" xfId="56" applyNumberFormat="1" applyFont="1" applyBorder="1" applyAlignment="1">
      <alignment/>
    </xf>
    <xf numFmtId="166" fontId="15" fillId="0" borderId="57" xfId="56" applyNumberFormat="1" applyFont="1" applyBorder="1" applyAlignment="1">
      <alignment/>
    </xf>
    <xf numFmtId="0" fontId="1" fillId="0" borderId="0" xfId="52" applyFont="1">
      <alignment/>
      <protection/>
    </xf>
    <xf numFmtId="0" fontId="15" fillId="0" borderId="47" xfId="52" applyFont="1" applyBorder="1">
      <alignment/>
      <protection/>
    </xf>
    <xf numFmtId="165" fontId="15" fillId="0" borderId="0" xfId="56" applyNumberFormat="1" applyFont="1" applyBorder="1" applyAlignment="1">
      <alignment/>
    </xf>
    <xf numFmtId="166" fontId="15" fillId="0" borderId="60" xfId="56" applyNumberFormat="1" applyFont="1" applyBorder="1" applyAlignment="1">
      <alignment/>
    </xf>
    <xf numFmtId="0" fontId="15" fillId="0" borderId="20" xfId="52" applyFont="1" applyBorder="1">
      <alignment/>
      <protection/>
    </xf>
    <xf numFmtId="0" fontId="2" fillId="0" borderId="58" xfId="52" applyBorder="1">
      <alignment/>
      <protection/>
    </xf>
    <xf numFmtId="166" fontId="15" fillId="0" borderId="59" xfId="40" applyNumberFormat="1" applyFont="1" applyBorder="1" applyAlignment="1">
      <alignment/>
    </xf>
    <xf numFmtId="0" fontId="2" fillId="0" borderId="61" xfId="52" applyBorder="1">
      <alignment/>
      <protection/>
    </xf>
    <xf numFmtId="165" fontId="15" fillId="0" borderId="54" xfId="42" applyNumberFormat="1" applyFont="1" applyBorder="1" applyAlignment="1">
      <alignment/>
    </xf>
    <xf numFmtId="0" fontId="15" fillId="0" borderId="21" xfId="52" applyFont="1" applyBorder="1">
      <alignment/>
      <protection/>
    </xf>
    <xf numFmtId="0" fontId="21" fillId="0" borderId="34" xfId="52" applyFont="1" applyBorder="1">
      <alignment/>
      <protection/>
    </xf>
    <xf numFmtId="0" fontId="21" fillId="0" borderId="35" xfId="52" applyFont="1" applyBorder="1">
      <alignment/>
      <protection/>
    </xf>
    <xf numFmtId="166" fontId="21" fillId="0" borderId="35" xfId="40" applyNumberFormat="1" applyFont="1" applyBorder="1" applyAlignment="1">
      <alignment/>
    </xf>
    <xf numFmtId="0" fontId="15" fillId="0" borderId="36" xfId="52" applyFont="1" applyBorder="1">
      <alignment/>
      <protection/>
    </xf>
    <xf numFmtId="0" fontId="21" fillId="0" borderId="22" xfId="52" applyFont="1" applyBorder="1">
      <alignment/>
      <protection/>
    </xf>
    <xf numFmtId="0" fontId="21" fillId="0" borderId="23" xfId="52" applyFont="1" applyBorder="1">
      <alignment/>
      <protection/>
    </xf>
    <xf numFmtId="166" fontId="21" fillId="0" borderId="23" xfId="40" applyNumberFormat="1" applyFont="1" applyBorder="1" applyAlignment="1">
      <alignment/>
    </xf>
    <xf numFmtId="0" fontId="15" fillId="0" borderId="27" xfId="52" applyFont="1" applyBorder="1">
      <alignment/>
      <protection/>
    </xf>
    <xf numFmtId="0" fontId="21" fillId="0" borderId="27" xfId="52" applyFont="1" applyBorder="1">
      <alignment/>
      <protection/>
    </xf>
    <xf numFmtId="166" fontId="21" fillId="0" borderId="23" xfId="40" applyNumberFormat="1" applyFont="1" applyFill="1" applyBorder="1" applyAlignment="1">
      <alignment/>
    </xf>
    <xf numFmtId="0" fontId="21" fillId="0" borderId="69" xfId="52" applyFont="1" applyBorder="1">
      <alignment/>
      <protection/>
    </xf>
    <xf numFmtId="0" fontId="21" fillId="0" borderId="70" xfId="52" applyFont="1" applyBorder="1">
      <alignment/>
      <protection/>
    </xf>
    <xf numFmtId="166" fontId="21" fillId="0" borderId="70" xfId="40" applyNumberFormat="1" applyFont="1" applyBorder="1" applyAlignment="1">
      <alignment/>
    </xf>
    <xf numFmtId="0" fontId="21" fillId="0" borderId="42" xfId="52" applyFont="1" applyBorder="1">
      <alignment/>
      <protection/>
    </xf>
    <xf numFmtId="0" fontId="21" fillId="0" borderId="38" xfId="52" applyFont="1" applyBorder="1">
      <alignment/>
      <protection/>
    </xf>
    <xf numFmtId="0" fontId="15" fillId="0" borderId="39" xfId="52" applyFont="1" applyBorder="1">
      <alignment/>
      <protection/>
    </xf>
    <xf numFmtId="166" fontId="2" fillId="0" borderId="39" xfId="40" applyNumberFormat="1" applyFont="1" applyBorder="1" applyAlignment="1">
      <alignment/>
    </xf>
    <xf numFmtId="166" fontId="22" fillId="0" borderId="41" xfId="40" applyNumberFormat="1" applyFont="1" applyBorder="1" applyAlignment="1">
      <alignment/>
    </xf>
    <xf numFmtId="165" fontId="15" fillId="0" borderId="54" xfId="56" applyNumberFormat="1" applyFont="1" applyBorder="1" applyAlignment="1">
      <alignment/>
    </xf>
    <xf numFmtId="0" fontId="15" fillId="0" borderId="0" xfId="52" applyFont="1" applyBorder="1">
      <alignment/>
      <protection/>
    </xf>
    <xf numFmtId="10" fontId="15" fillId="0" borderId="0" xfId="42" applyNumberFormat="1" applyFont="1" applyBorder="1" applyAlignment="1">
      <alignment/>
    </xf>
    <xf numFmtId="0" fontId="22" fillId="0" borderId="10" xfId="52" applyFont="1" applyBorder="1">
      <alignment/>
      <protection/>
    </xf>
    <xf numFmtId="165" fontId="15" fillId="0" borderId="11" xfId="56" applyNumberFormat="1" applyFont="1" applyBorder="1" applyAlignment="1">
      <alignment/>
    </xf>
    <xf numFmtId="166" fontId="22" fillId="0" borderId="46" xfId="40" applyNumberFormat="1" applyFont="1" applyBorder="1" applyAlignment="1">
      <alignment/>
    </xf>
    <xf numFmtId="0" fontId="21" fillId="0" borderId="10" xfId="52" applyFont="1" applyBorder="1">
      <alignment/>
      <protection/>
    </xf>
    <xf numFmtId="0" fontId="21" fillId="0" borderId="11" xfId="52" applyFont="1" applyBorder="1">
      <alignment/>
      <protection/>
    </xf>
    <xf numFmtId="166" fontId="21" fillId="0" borderId="46" xfId="52" applyNumberFormat="1" applyFont="1" applyBorder="1">
      <alignment/>
      <protection/>
    </xf>
    <xf numFmtId="0" fontId="21" fillId="0" borderId="45" xfId="52" applyFont="1" applyBorder="1">
      <alignment/>
      <protection/>
    </xf>
    <xf numFmtId="0" fontId="21" fillId="0" borderId="61" xfId="52" applyFont="1" applyBorder="1">
      <alignment/>
      <protection/>
    </xf>
    <xf numFmtId="6" fontId="21" fillId="0" borderId="54" xfId="52" applyNumberFormat="1" applyFont="1" applyBorder="1">
      <alignment/>
      <protection/>
    </xf>
    <xf numFmtId="0" fontId="2" fillId="0" borderId="0" xfId="52" applyFont="1">
      <alignment/>
      <protection/>
    </xf>
    <xf numFmtId="166" fontId="2" fillId="0" borderId="0" xfId="52" applyNumberFormat="1">
      <alignment/>
      <protection/>
    </xf>
    <xf numFmtId="0" fontId="3" fillId="0" borderId="0" xfId="52" applyFont="1">
      <alignment/>
      <protection/>
    </xf>
    <xf numFmtId="14" fontId="3" fillId="0" borderId="10" xfId="0" applyNumberFormat="1" applyFont="1" applyFill="1" applyBorder="1" applyAlignment="1">
      <alignment horizontal="center"/>
    </xf>
    <xf numFmtId="14" fontId="3" fillId="0" borderId="46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46" xfId="0" applyNumberFormat="1" applyFont="1" applyFill="1" applyBorder="1" applyAlignment="1">
      <alignment horizontal="center"/>
    </xf>
    <xf numFmtId="0" fontId="15" fillId="0" borderId="38" xfId="53" applyFont="1" applyBorder="1" applyAlignment="1">
      <alignment horizontal="center"/>
      <protection/>
    </xf>
    <xf numFmtId="0" fontId="15" fillId="0" borderId="39" xfId="53" applyFont="1" applyBorder="1" applyAlignment="1">
      <alignment horizontal="center"/>
      <protection/>
    </xf>
    <xf numFmtId="0" fontId="15" fillId="0" borderId="10" xfId="53" applyFont="1" applyBorder="1" applyAlignment="1">
      <alignment horizontal="center"/>
      <protection/>
    </xf>
    <xf numFmtId="0" fontId="15" fillId="0" borderId="71" xfId="53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7" fillId="0" borderId="20" xfId="53" applyFont="1" applyFill="1" applyBorder="1" applyAlignment="1">
      <alignment horizontal="center"/>
      <protection/>
    </xf>
    <xf numFmtId="0" fontId="17" fillId="0" borderId="59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46" xfId="53" applyFont="1" applyFill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59" xfId="53" applyFont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4" fillId="0" borderId="58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46" xfId="53" applyFont="1" applyBorder="1" applyAlignment="1">
      <alignment horizontal="center"/>
      <protection/>
    </xf>
    <xf numFmtId="0" fontId="17" fillId="0" borderId="10" xfId="53" applyFont="1" applyBorder="1" applyAlignment="1">
      <alignment horizontal="center"/>
      <protection/>
    </xf>
    <xf numFmtId="0" fontId="17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65" fontId="4" fillId="0" borderId="10" xfId="53" applyNumberFormat="1" applyFont="1" applyBorder="1" applyAlignment="1">
      <alignment horizontal="center"/>
      <protection/>
    </xf>
    <xf numFmtId="165" fontId="4" fillId="0" borderId="46" xfId="53" applyNumberFormat="1" applyFont="1" applyBorder="1" applyAlignment="1">
      <alignment horizont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50" fillId="0" borderId="58" xfId="0" applyFont="1" applyBorder="1" applyAlignment="1">
      <alignment/>
    </xf>
    <xf numFmtId="0" fontId="0" fillId="0" borderId="67" xfId="0" applyFont="1" applyBorder="1" applyAlignment="1">
      <alignment/>
    </xf>
    <xf numFmtId="0" fontId="13" fillId="0" borderId="67" xfId="0" applyFont="1" applyBorder="1" applyAlignment="1">
      <alignment/>
    </xf>
    <xf numFmtId="0" fontId="2" fillId="0" borderId="22" xfId="50" applyFont="1" applyFill="1" applyBorder="1">
      <alignment/>
      <protection/>
    </xf>
    <xf numFmtId="0" fontId="2" fillId="0" borderId="23" xfId="50" applyFont="1" applyFill="1" applyBorder="1">
      <alignment/>
      <protection/>
    </xf>
    <xf numFmtId="0" fontId="2" fillId="0" borderId="56" xfId="50" applyFont="1" applyFill="1" applyBorder="1">
      <alignment/>
      <protection/>
    </xf>
    <xf numFmtId="0" fontId="3" fillId="0" borderId="56" xfId="50" applyFont="1" applyFill="1" applyBorder="1">
      <alignment/>
      <protection/>
    </xf>
    <xf numFmtId="165" fontId="0" fillId="0" borderId="0" xfId="56" applyNumberFormat="1" applyAlignment="1">
      <alignment/>
    </xf>
    <xf numFmtId="0" fontId="2" fillId="0" borderId="22" xfId="50" applyFont="1" applyBorder="1">
      <alignment/>
      <protection/>
    </xf>
    <xf numFmtId="0" fontId="2" fillId="0" borderId="23" xfId="50" applyBorder="1">
      <alignment/>
      <protection/>
    </xf>
    <xf numFmtId="0" fontId="2" fillId="0" borderId="56" xfId="50" applyFont="1" applyBorder="1">
      <alignment/>
      <protection/>
    </xf>
    <xf numFmtId="0" fontId="3" fillId="0" borderId="56" xfId="50" applyFont="1" applyBorder="1">
      <alignment/>
      <protection/>
    </xf>
    <xf numFmtId="0" fontId="2" fillId="0" borderId="45" xfId="50" applyFont="1" applyBorder="1">
      <alignment/>
      <protection/>
    </xf>
    <xf numFmtId="0" fontId="2" fillId="0" borderId="31" xfId="50" applyBorder="1">
      <alignment/>
      <protection/>
    </xf>
    <xf numFmtId="0" fontId="2" fillId="0" borderId="61" xfId="50" applyBorder="1">
      <alignment/>
      <protection/>
    </xf>
    <xf numFmtId="0" fontId="2" fillId="0" borderId="57" xfId="50" applyFont="1" applyBorder="1">
      <alignment/>
      <protection/>
    </xf>
    <xf numFmtId="0" fontId="3" fillId="0" borderId="57" xfId="50" applyFont="1" applyBorder="1">
      <alignment/>
      <protection/>
    </xf>
    <xf numFmtId="0" fontId="3" fillId="0" borderId="45" xfId="50" applyFont="1" applyBorder="1">
      <alignment/>
      <protection/>
    </xf>
    <xf numFmtId="0" fontId="3" fillId="0" borderId="61" xfId="50" applyFont="1" applyBorder="1">
      <alignment/>
      <protection/>
    </xf>
    <xf numFmtId="0" fontId="0" fillId="0" borderId="57" xfId="0" applyFont="1" applyBorder="1" applyAlignment="1">
      <alignment/>
    </xf>
    <xf numFmtId="0" fontId="13" fillId="0" borderId="57" xfId="0" applyFont="1" applyBorder="1" applyAlignment="1">
      <alignment/>
    </xf>
    <xf numFmtId="165" fontId="13" fillId="0" borderId="0" xfId="56" applyNumberFormat="1" applyFont="1" applyAlignment="1">
      <alignment/>
    </xf>
    <xf numFmtId="0" fontId="3" fillId="0" borderId="0" xfId="50" applyFont="1" applyBorder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52" xfId="50" applyFont="1" applyBorder="1">
      <alignment/>
      <protection/>
    </xf>
    <xf numFmtId="0" fontId="2" fillId="0" borderId="50" xfId="50" applyBorder="1">
      <alignment/>
      <protection/>
    </xf>
    <xf numFmtId="0" fontId="2" fillId="0" borderId="72" xfId="50" applyFont="1" applyBorder="1">
      <alignment/>
      <protection/>
    </xf>
    <xf numFmtId="0" fontId="2" fillId="0" borderId="35" xfId="50" applyBorder="1">
      <alignment/>
      <protection/>
    </xf>
    <xf numFmtId="0" fontId="2" fillId="0" borderId="73" xfId="50" applyBorder="1">
      <alignment/>
      <protection/>
    </xf>
    <xf numFmtId="0" fontId="2" fillId="0" borderId="74" xfId="50" applyFont="1" applyBorder="1">
      <alignment/>
      <protection/>
    </xf>
    <xf numFmtId="0" fontId="3" fillId="0" borderId="74" xfId="50" applyFont="1" applyBorder="1">
      <alignment/>
      <protection/>
    </xf>
    <xf numFmtId="0" fontId="2" fillId="0" borderId="44" xfId="50" applyBorder="1">
      <alignment/>
      <protection/>
    </xf>
    <xf numFmtId="0" fontId="3" fillId="0" borderId="20" xfId="50" applyFont="1" applyBorder="1">
      <alignment/>
      <protection/>
    </xf>
    <xf numFmtId="0" fontId="2" fillId="0" borderId="58" xfId="50" applyBorder="1">
      <alignment/>
      <protection/>
    </xf>
    <xf numFmtId="0" fontId="0" fillId="0" borderId="55" xfId="0" applyFont="1" applyBorder="1" applyAlignment="1">
      <alignment/>
    </xf>
    <xf numFmtId="0" fontId="13" fillId="0" borderId="55" xfId="0" applyFont="1" applyBorder="1" applyAlignment="1">
      <alignment/>
    </xf>
    <xf numFmtId="1" fontId="2" fillId="0" borderId="56" xfId="50" applyNumberFormat="1" applyFont="1" applyBorder="1">
      <alignment/>
      <protection/>
    </xf>
    <xf numFmtId="1" fontId="3" fillId="0" borderId="56" xfId="50" applyNumberFormat="1" applyFont="1" applyBorder="1">
      <alignment/>
      <protection/>
    </xf>
    <xf numFmtId="0" fontId="2" fillId="0" borderId="23" xfId="50" applyFill="1" applyBorder="1">
      <alignment/>
      <protection/>
    </xf>
    <xf numFmtId="1" fontId="2" fillId="0" borderId="56" xfId="50" applyNumberFormat="1" applyFont="1" applyFill="1" applyBorder="1">
      <alignment/>
      <protection/>
    </xf>
    <xf numFmtId="1" fontId="3" fillId="0" borderId="56" xfId="50" applyNumberFormat="1" applyFont="1" applyFill="1" applyBorder="1">
      <alignment/>
      <protection/>
    </xf>
    <xf numFmtId="0" fontId="2" fillId="0" borderId="22" xfId="50" applyBorder="1">
      <alignment/>
      <protection/>
    </xf>
    <xf numFmtId="165" fontId="71" fillId="0" borderId="0" xfId="56" applyNumberFormat="1" applyFont="1" applyAlignment="1">
      <alignment/>
    </xf>
    <xf numFmtId="164" fontId="3" fillId="0" borderId="56" xfId="50" applyNumberFormat="1" applyFont="1" applyBorder="1">
      <alignment/>
      <protection/>
    </xf>
    <xf numFmtId="165" fontId="0" fillId="0" borderId="0" xfId="56" applyNumberFormat="1" applyFont="1" applyAlignment="1">
      <alignment/>
    </xf>
    <xf numFmtId="1" fontId="2" fillId="0" borderId="74" xfId="50" applyNumberFormat="1" applyFont="1" applyFill="1" applyBorder="1">
      <alignment/>
      <protection/>
    </xf>
    <xf numFmtId="1" fontId="3" fillId="0" borderId="74" xfId="50" applyNumberFormat="1" applyFont="1" applyFill="1" applyBorder="1">
      <alignment/>
      <protection/>
    </xf>
    <xf numFmtId="0" fontId="2" fillId="0" borderId="47" xfId="50" applyFont="1" applyBorder="1">
      <alignment/>
      <protection/>
    </xf>
    <xf numFmtId="0" fontId="2" fillId="0" borderId="0" xfId="50" applyBorder="1">
      <alignment/>
      <protection/>
    </xf>
    <xf numFmtId="1" fontId="2" fillId="0" borderId="63" xfId="50" applyNumberFormat="1" applyFont="1" applyFill="1" applyBorder="1">
      <alignment/>
      <protection/>
    </xf>
    <xf numFmtId="1" fontId="3" fillId="0" borderId="63" xfId="50" applyNumberFormat="1" applyFont="1" applyFill="1" applyBorder="1">
      <alignment/>
      <protection/>
    </xf>
    <xf numFmtId="0" fontId="3" fillId="0" borderId="10" xfId="50" applyFont="1" applyBorder="1">
      <alignment/>
      <protection/>
    </xf>
    <xf numFmtId="0" fontId="3" fillId="0" borderId="11" xfId="50" applyFont="1" applyBorder="1">
      <alignment/>
      <protection/>
    </xf>
    <xf numFmtId="1" fontId="0" fillId="0" borderId="62" xfId="0" applyNumberFormat="1" applyFont="1" applyFill="1" applyBorder="1" applyAlignment="1">
      <alignment/>
    </xf>
    <xf numFmtId="164" fontId="13" fillId="0" borderId="62" xfId="0" applyNumberFormat="1" applyFont="1" applyFill="1" applyBorder="1" applyAlignment="1">
      <alignment/>
    </xf>
    <xf numFmtId="1" fontId="13" fillId="0" borderId="6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50" applyFont="1" applyFill="1" applyBorder="1">
      <alignment/>
      <protection/>
    </xf>
    <xf numFmtId="0" fontId="0" fillId="0" borderId="17" xfId="0" applyBorder="1" applyAlignment="1">
      <alignment/>
    </xf>
    <xf numFmtId="0" fontId="2" fillId="0" borderId="18" xfId="50" applyBorder="1">
      <alignment/>
      <protection/>
    </xf>
    <xf numFmtId="0" fontId="2" fillId="0" borderId="18" xfId="50" applyFont="1" applyBorder="1">
      <alignment/>
      <protection/>
    </xf>
    <xf numFmtId="0" fontId="3" fillId="0" borderId="18" xfId="50" applyFont="1" applyBorder="1">
      <alignment/>
      <protection/>
    </xf>
    <xf numFmtId="0" fontId="0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3" xfId="50" applyFont="1" applyBorder="1">
      <alignment/>
      <protection/>
    </xf>
    <xf numFmtId="0" fontId="0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6" xfId="50" applyBorder="1">
      <alignment/>
      <protection/>
    </xf>
    <xf numFmtId="0" fontId="2" fillId="0" borderId="26" xfId="50" applyFont="1" applyBorder="1">
      <alignment/>
      <protection/>
    </xf>
    <xf numFmtId="0" fontId="3" fillId="0" borderId="26" xfId="50" applyFont="1" applyBorder="1">
      <alignment/>
      <protection/>
    </xf>
    <xf numFmtId="0" fontId="0" fillId="0" borderId="37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31" xfId="50" applyFont="1" applyBorder="1">
      <alignment/>
      <protection/>
    </xf>
    <xf numFmtId="0" fontId="0" fillId="0" borderId="33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8" xfId="0" applyFont="1" applyBorder="1" applyAlignment="1">
      <alignment/>
    </xf>
    <xf numFmtId="0" fontId="2" fillId="0" borderId="39" xfId="50" applyBorder="1">
      <alignment/>
      <protection/>
    </xf>
    <xf numFmtId="0" fontId="2" fillId="0" borderId="39" xfId="50" applyFont="1" applyBorder="1">
      <alignment/>
      <protection/>
    </xf>
    <xf numFmtId="0" fontId="3" fillId="0" borderId="39" xfId="50" applyFont="1" applyBorder="1">
      <alignment/>
      <protection/>
    </xf>
    <xf numFmtId="0" fontId="3" fillId="0" borderId="38" xfId="50" applyFont="1" applyBorder="1">
      <alignment/>
      <protection/>
    </xf>
    <xf numFmtId="0" fontId="2" fillId="0" borderId="62" xfId="50" applyFont="1" applyFill="1" applyBorder="1">
      <alignment/>
      <protection/>
    </xf>
    <xf numFmtId="0" fontId="3" fillId="0" borderId="62" xfId="50" applyFont="1" applyFill="1" applyBorder="1">
      <alignment/>
      <protection/>
    </xf>
    <xf numFmtId="0" fontId="2" fillId="0" borderId="62" xfId="50" applyFont="1" applyBorder="1">
      <alignment/>
      <protection/>
    </xf>
    <xf numFmtId="0" fontId="3" fillId="0" borderId="62" xfId="50" applyFont="1" applyBorder="1">
      <alignment/>
      <protection/>
    </xf>
    <xf numFmtId="1" fontId="2" fillId="0" borderId="55" xfId="50" applyNumberFormat="1" applyFont="1" applyBorder="1">
      <alignment/>
      <protection/>
    </xf>
    <xf numFmtId="1" fontId="3" fillId="0" borderId="55" xfId="50" applyNumberFormat="1" applyFont="1" applyBorder="1">
      <alignment/>
      <protection/>
    </xf>
    <xf numFmtId="0" fontId="2" fillId="0" borderId="75" xfId="50" applyFont="1" applyBorder="1">
      <alignment/>
      <protection/>
    </xf>
    <xf numFmtId="0" fontId="3" fillId="0" borderId="75" xfId="50" applyFont="1" applyBorder="1">
      <alignment/>
      <protection/>
    </xf>
    <xf numFmtId="0" fontId="3" fillId="0" borderId="22" xfId="50" applyFont="1" applyBorder="1">
      <alignment/>
      <protection/>
    </xf>
    <xf numFmtId="0" fontId="2" fillId="0" borderId="55" xfId="50" applyFont="1" applyBorder="1">
      <alignment/>
      <protection/>
    </xf>
    <xf numFmtId="0" fontId="3" fillId="0" borderId="55" xfId="50" applyFont="1" applyBorder="1">
      <alignment/>
      <protection/>
    </xf>
    <xf numFmtId="0" fontId="3" fillId="0" borderId="25" xfId="50" applyFont="1" applyBorder="1">
      <alignment/>
      <protection/>
    </xf>
    <xf numFmtId="0" fontId="2" fillId="0" borderId="30" xfId="50" applyFont="1" applyBorder="1">
      <alignment/>
      <protection/>
    </xf>
    <xf numFmtId="0" fontId="3" fillId="0" borderId="10" xfId="50" applyFont="1" applyFill="1" applyBorder="1">
      <alignment/>
      <protection/>
    </xf>
    <xf numFmtId="0" fontId="13" fillId="0" borderId="11" xfId="0" applyFont="1" applyBorder="1" applyAlignment="1">
      <alignment/>
    </xf>
    <xf numFmtId="0" fontId="0" fillId="0" borderId="62" xfId="0" applyFont="1" applyBorder="1" applyAlignment="1">
      <alignment/>
    </xf>
    <xf numFmtId="0" fontId="13" fillId="0" borderId="62" xfId="0" applyFont="1" applyBorder="1" applyAlignment="1">
      <alignment/>
    </xf>
    <xf numFmtId="0" fontId="2" fillId="0" borderId="51" xfId="50" applyFont="1" applyBorder="1">
      <alignment/>
      <protection/>
    </xf>
    <xf numFmtId="0" fontId="2" fillId="0" borderId="17" xfId="50" applyBorder="1">
      <alignment/>
      <protection/>
    </xf>
    <xf numFmtId="0" fontId="3" fillId="0" borderId="21" xfId="50" applyFont="1" applyBorder="1">
      <alignment/>
      <protection/>
    </xf>
    <xf numFmtId="0" fontId="2" fillId="0" borderId="55" xfId="50" applyFont="1" applyFill="1" applyBorder="1">
      <alignment/>
      <protection/>
    </xf>
    <xf numFmtId="0" fontId="3" fillId="0" borderId="55" xfId="50" applyFont="1" applyFill="1" applyBorder="1">
      <alignment/>
      <protection/>
    </xf>
    <xf numFmtId="0" fontId="2" fillId="0" borderId="52" xfId="50" applyBorder="1">
      <alignment/>
      <protection/>
    </xf>
    <xf numFmtId="0" fontId="3" fillId="0" borderId="27" xfId="50" applyFont="1" applyBorder="1">
      <alignment/>
      <protection/>
    </xf>
    <xf numFmtId="0" fontId="2" fillId="0" borderId="53" xfId="50" applyFont="1" applyFill="1" applyBorder="1">
      <alignment/>
      <protection/>
    </xf>
    <xf numFmtId="0" fontId="3" fillId="0" borderId="53" xfId="50" applyFont="1" applyFill="1" applyBorder="1">
      <alignment/>
      <protection/>
    </xf>
    <xf numFmtId="0" fontId="2" fillId="0" borderId="27" xfId="50" applyBorder="1">
      <alignment/>
      <protection/>
    </xf>
    <xf numFmtId="0" fontId="2" fillId="0" borderId="76" xfId="50" applyFont="1" applyBorder="1">
      <alignment/>
      <protection/>
    </xf>
    <xf numFmtId="0" fontId="2" fillId="0" borderId="76" xfId="50" applyBorder="1">
      <alignment/>
      <protection/>
    </xf>
    <xf numFmtId="0" fontId="2" fillId="0" borderId="37" xfId="50" applyBorder="1">
      <alignment/>
      <protection/>
    </xf>
    <xf numFmtId="0" fontId="2" fillId="0" borderId="77" xfId="50" applyFont="1" applyFill="1" applyBorder="1">
      <alignment/>
      <protection/>
    </xf>
    <xf numFmtId="0" fontId="3" fillId="0" borderId="77" xfId="50" applyFont="1" applyFill="1" applyBorder="1">
      <alignment/>
      <protection/>
    </xf>
    <xf numFmtId="0" fontId="3" fillId="0" borderId="51" xfId="50" applyFont="1" applyBorder="1">
      <alignment/>
      <protection/>
    </xf>
    <xf numFmtId="0" fontId="2" fillId="0" borderId="51" xfId="50" applyBorder="1">
      <alignment/>
      <protection/>
    </xf>
    <xf numFmtId="0" fontId="2" fillId="0" borderId="21" xfId="50" applyBorder="1">
      <alignment/>
      <protection/>
    </xf>
    <xf numFmtId="0" fontId="2" fillId="0" borderId="48" xfId="50" applyFont="1" applyFill="1" applyBorder="1">
      <alignment/>
      <protection/>
    </xf>
    <xf numFmtId="0" fontId="3" fillId="0" borderId="48" xfId="50" applyFont="1" applyFill="1" applyBorder="1">
      <alignment/>
      <protection/>
    </xf>
    <xf numFmtId="0" fontId="2" fillId="0" borderId="45" xfId="50" applyBorder="1">
      <alignment/>
      <protection/>
    </xf>
    <xf numFmtId="0" fontId="2" fillId="0" borderId="16" xfId="50" applyBorder="1">
      <alignment/>
      <protection/>
    </xf>
    <xf numFmtId="0" fontId="2" fillId="0" borderId="54" xfId="50" applyFont="1" applyFill="1" applyBorder="1">
      <alignment/>
      <protection/>
    </xf>
    <xf numFmtId="0" fontId="3" fillId="0" borderId="54" xfId="50" applyFont="1" applyFill="1" applyBorder="1">
      <alignment/>
      <protection/>
    </xf>
    <xf numFmtId="0" fontId="2" fillId="0" borderId="72" xfId="50" applyBorder="1">
      <alignment/>
      <protection/>
    </xf>
    <xf numFmtId="0" fontId="2" fillId="0" borderId="36" xfId="50" applyBorder="1">
      <alignment/>
      <protection/>
    </xf>
    <xf numFmtId="0" fontId="2" fillId="0" borderId="74" xfId="50" applyFont="1" applyFill="1" applyBorder="1">
      <alignment/>
      <protection/>
    </xf>
    <xf numFmtId="0" fontId="3" fillId="0" borderId="74" xfId="50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0" borderId="0" xfId="50" applyFont="1" applyFill="1" applyBorder="1">
      <alignment/>
      <protection/>
    </xf>
    <xf numFmtId="0" fontId="3" fillId="0" borderId="17" xfId="50" applyFont="1" applyFill="1" applyBorder="1">
      <alignment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55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3" fillId="0" borderId="34" xfId="50" applyFont="1" applyFill="1" applyBorder="1">
      <alignment/>
      <protection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74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3" fillId="0" borderId="22" xfId="50" applyFont="1" applyFill="1" applyBorder="1">
      <alignment/>
      <protection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56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5" xfId="50" applyFont="1" applyFill="1" applyBorder="1">
      <alignment/>
      <protection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57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3" fillId="0" borderId="47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63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62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71" fillId="0" borderId="62" xfId="0" applyFont="1" applyFill="1" applyBorder="1" applyAlignment="1">
      <alignment/>
    </xf>
    <xf numFmtId="0" fontId="72" fillId="0" borderId="62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měny 3" xfId="40"/>
    <cellStyle name="Currency [0]" xfId="41"/>
    <cellStyle name="měny_složky2002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účtový rozvrh" xfId="50"/>
    <cellStyle name="normální_V.úprava rozpočtu" xfId="51"/>
    <cellStyle name="normální_výsl.IV.Q." xfId="52"/>
    <cellStyle name="normální_závěrečný účet 2008" xfId="53"/>
    <cellStyle name="Poznámka" xfId="54"/>
    <cellStyle name="Percent" xfId="55"/>
    <cellStyle name="procent 2" xfId="56"/>
    <cellStyle name="procent 3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výdajů</a:t>
            </a:r>
          </a:p>
        </c:rich>
      </c:tx>
      <c:layout>
        <c:manualLayout>
          <c:xMode val="factor"/>
          <c:yMode val="factor"/>
          <c:x val="-0.00425"/>
          <c:y val="-0.00275"/>
        </c:manualLayout>
      </c:layout>
      <c:spPr>
        <a:gradFill rotWithShape="1">
          <a:gsLst>
            <a:gs pos="0">
              <a:srgbClr val="FFFFFF"/>
            </a:gs>
            <a:gs pos="100000">
              <a:srgbClr val="9B9B9B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360"/>
      <c:depthPercent val="100"/>
      <c:rAngAx val="1"/>
    </c:view3D>
    <c:plotArea>
      <c:layout>
        <c:manualLayout>
          <c:xMode val="edge"/>
          <c:yMode val="edge"/>
          <c:x val="0.241"/>
          <c:y val="0.27325"/>
          <c:w val="0.54875"/>
          <c:h val="0.5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graf!$B$20:$B$28</c:f>
              <c:strCache/>
            </c:strRef>
          </c:cat>
          <c:val>
            <c:numRef>
              <c:f>graf!$C$20:$C$28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příjmů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D4D4D4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6"/>
          <c:y val="0.32325"/>
          <c:w val="0.53925"/>
          <c:h val="0.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graf!$B$2:$B$10</c:f>
              <c:strCache/>
            </c:strRef>
          </c:cat>
          <c:val>
            <c:numRef>
              <c:f>graf!$C$2:$C$10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Příjmy (tis.Kč)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3C3C3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60"/>
      <c:rotY val="16"/>
      <c:depthPercent val="100"/>
      <c:rAngAx val="1"/>
    </c:view3D>
    <c:plotArea>
      <c:layout>
        <c:manualLayout>
          <c:xMode val="edge"/>
          <c:yMode val="edge"/>
          <c:x val="0.01575"/>
          <c:y val="0.0615"/>
          <c:w val="0.9542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</c:f>
              <c:strCache>
                <c:ptCount val="1"/>
                <c:pt idx="0">
                  <c:v>Dotace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</c:f>
              <c:numCache/>
            </c:numRef>
          </c:val>
          <c:shape val="box"/>
        </c:ser>
        <c:ser>
          <c:idx val="1"/>
          <c:order val="1"/>
          <c:tx>
            <c:strRef>
              <c:f>graf!$B$3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graf!$C$3</c:f>
              <c:numCache/>
            </c:numRef>
          </c:val>
          <c:shape val="box"/>
        </c:ser>
        <c:ser>
          <c:idx val="2"/>
          <c:order val="2"/>
          <c:tx>
            <c:strRef>
              <c:f>graf!$B$4</c:f>
              <c:strCache>
                <c:ptCount val="1"/>
                <c:pt idx="0">
                  <c:v>Poplatky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graf!$C$4</c:f>
              <c:numCache/>
            </c:numRef>
          </c:val>
          <c:shape val="box"/>
        </c:ser>
        <c:ser>
          <c:idx val="3"/>
          <c:order val="3"/>
          <c:tx>
            <c:strRef>
              <c:f>graf!$B$5</c:f>
              <c:strCache>
                <c:ptCount val="1"/>
                <c:pt idx="0">
                  <c:v>Prodeje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graf!$C$5</c:f>
              <c:numCache/>
            </c:numRef>
          </c:val>
          <c:shape val="box"/>
        </c:ser>
        <c:ser>
          <c:idx val="4"/>
          <c:order val="4"/>
          <c:tx>
            <c:strRef>
              <c:f>graf!$B$6</c:f>
              <c:strCache>
                <c:ptCount val="1"/>
                <c:pt idx="0">
                  <c:v>Nájmy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graf!$C$6</c:f>
              <c:numCache/>
            </c:numRef>
          </c:val>
          <c:shape val="box"/>
        </c:ser>
        <c:ser>
          <c:idx val="5"/>
          <c:order val="5"/>
          <c:tx>
            <c:strRef>
              <c:f>graf!$B$7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graf!$C$7</c:f>
              <c:numCache/>
            </c:numRef>
          </c:val>
          <c:shape val="box"/>
        </c:ser>
        <c:ser>
          <c:idx val="6"/>
          <c:order val="6"/>
          <c:tx>
            <c:strRef>
              <c:f>graf!$B$8</c:f>
              <c:strCache>
                <c:ptCount val="1"/>
                <c:pt idx="0">
                  <c:v>BH převod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graf!$C$8</c:f>
              <c:numCache/>
            </c:numRef>
          </c:val>
          <c:shape val="box"/>
        </c:ser>
        <c:ser>
          <c:idx val="7"/>
          <c:order val="7"/>
          <c:tx>
            <c:strRef>
              <c:f>graf!$B$9</c:f>
              <c:strCache>
                <c:ptCount val="1"/>
                <c:pt idx="0">
                  <c:v>Zvl. příjmy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graf!$C$9</c:f>
              <c:numCache/>
            </c:numRef>
          </c:val>
          <c:shape val="box"/>
        </c:ser>
        <c:ser>
          <c:idx val="8"/>
          <c:order val="8"/>
          <c:tx>
            <c:strRef>
              <c:f>graf!$B$10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graf!$C$10</c:f>
              <c:numCache/>
            </c:numRef>
          </c:val>
          <c:shape val="box"/>
        </c:ser>
        <c:shape val="box"/>
        <c:axId val="51542468"/>
        <c:axId val="61229029"/>
      </c:bar3DChart>
      <c:catAx>
        <c:axId val="5154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kapitoly rozpočtu (tis.Kč)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68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61229029"/>
        <c:crosses val="autoZero"/>
        <c:auto val="1"/>
        <c:lblOffset val="100"/>
        <c:tickLblSkip val="1"/>
        <c:noMultiLvlLbl val="0"/>
      </c:catAx>
      <c:valAx>
        <c:axId val="612290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"/>
          <c:y val="0"/>
          <c:w val="0.23625"/>
          <c:h val="0.6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Výdaje (tis.Kč)</a:t>
            </a:r>
          </a:p>
        </c:rich>
      </c:tx>
      <c:layout>
        <c:manualLayout>
          <c:xMode val="factor"/>
          <c:yMode val="factor"/>
          <c:x val="0.00775"/>
          <c:y val="0.00575"/>
        </c:manualLayout>
      </c:layout>
      <c:spPr>
        <a:gradFill rotWithShape="1">
          <a:gsLst>
            <a:gs pos="0">
              <a:srgbClr val="FFFFFF"/>
            </a:gs>
            <a:gs pos="100000">
              <a:srgbClr val="C9C9C9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9775"/>
          <c:w val="0.962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graf!$B$20</c:f>
              <c:strCache>
                <c:ptCount val="1"/>
                <c:pt idx="0">
                  <c:v>Školství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graf!$C$20</c:f>
              <c:numCache/>
            </c:numRef>
          </c:val>
          <c:shape val="box"/>
        </c:ser>
        <c:ser>
          <c:idx val="1"/>
          <c:order val="1"/>
          <c:tx>
            <c:strRef>
              <c:f>graf!$B$21</c:f>
              <c:strCache>
                <c:ptCount val="1"/>
                <c:pt idx="0">
                  <c:v>Správa MěÚ po kons.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graf!$C$21</c:f>
              <c:numCache/>
            </c:numRef>
          </c:val>
          <c:shape val="box"/>
        </c:ser>
        <c:ser>
          <c:idx val="2"/>
          <c:order val="2"/>
          <c:tx>
            <c:strRef>
              <c:f>graf!$B$22</c:f>
              <c:strCache>
                <c:ptCount val="1"/>
                <c:pt idx="0">
                  <c:v>Kultura a 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graf!$C$22</c:f>
              <c:numCache/>
            </c:numRef>
          </c:val>
          <c:shape val="box"/>
        </c:ser>
        <c:ser>
          <c:idx val="3"/>
          <c:order val="3"/>
          <c:tx>
            <c:strRef>
              <c:f>graf!$B$23</c:f>
              <c:strCache>
                <c:ptCount val="1"/>
                <c:pt idx="0">
                  <c:v>Rozvoj města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graf!$C$23</c:f>
              <c:numCache/>
            </c:numRef>
          </c:val>
          <c:shape val="box"/>
        </c:ser>
        <c:ser>
          <c:idx val="4"/>
          <c:order val="4"/>
          <c:tx>
            <c:strRef>
              <c:f>graf!$B$24</c:f>
              <c:strCache>
                <c:ptCount val="1"/>
                <c:pt idx="0">
                  <c:v>Údržba města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graf!$C$24</c:f>
              <c:numCache/>
            </c:numRef>
          </c:val>
          <c:shape val="box"/>
        </c:ser>
        <c:ser>
          <c:idx val="5"/>
          <c:order val="5"/>
          <c:tx>
            <c:strRef>
              <c:f>graf!$B$25</c:f>
              <c:strCache>
                <c:ptCount val="1"/>
                <c:pt idx="0">
                  <c:v>Různé výdaje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graf!$C$25</c:f>
              <c:numCache/>
            </c:numRef>
          </c:val>
          <c:shape val="box"/>
        </c:ser>
        <c:ser>
          <c:idx val="6"/>
          <c:order val="6"/>
          <c:tx>
            <c:strRef>
              <c:f>graf!$B$26</c:f>
              <c:strCache>
                <c:ptCount val="1"/>
                <c:pt idx="0">
                  <c:v>Soc.věci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graf!$C$26</c:f>
              <c:numCache/>
            </c:numRef>
          </c:val>
          <c:shape val="box"/>
        </c:ser>
        <c:ser>
          <c:idx val="7"/>
          <c:order val="7"/>
          <c:tx>
            <c:strRef>
              <c:f>graf!$B$27</c:f>
              <c:strCache>
                <c:ptCount val="1"/>
                <c:pt idx="0">
                  <c:v>Lesy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graf!$C$27</c:f>
              <c:numCache/>
            </c:numRef>
          </c:val>
          <c:shape val="box"/>
        </c:ser>
        <c:ser>
          <c:idx val="8"/>
          <c:order val="8"/>
          <c:tx>
            <c:strRef>
              <c:f>graf!$B$28</c:f>
              <c:strCache>
                <c:ptCount val="1"/>
                <c:pt idx="0">
                  <c:v>Fondy po kons.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graf!$C$28</c:f>
              <c:numCache/>
            </c:numRef>
          </c:val>
          <c:shape val="box"/>
        </c:ser>
        <c:shape val="box"/>
        <c:axId val="14190350"/>
        <c:axId val="60604287"/>
      </c:bar3DChart>
      <c:catAx>
        <c:axId val="14190350"/>
        <c:scaling>
          <c:orientation val="minMax"/>
        </c:scaling>
        <c:axPos val="b"/>
        <c:delete val="1"/>
        <c:majorTickMark val="out"/>
        <c:minorTickMark val="none"/>
        <c:tickLblPos val="none"/>
        <c:crossAx val="60604287"/>
        <c:crosses val="autoZero"/>
        <c:auto val="1"/>
        <c:lblOffset val="100"/>
        <c:tickLblSkip val="1"/>
        <c:noMultiLvlLbl val="0"/>
      </c:catAx>
      <c:valAx>
        <c:axId val="6060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0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"/>
          <c:w val="0.2525"/>
          <c:h val="0.6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17</xdr:row>
      <xdr:rowOff>57150</xdr:rowOff>
    </xdr:from>
    <xdr:to>
      <xdr:col>11</xdr:col>
      <xdr:colOff>19050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2047875" y="3295650"/>
        <a:ext cx="4562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11</xdr:col>
      <xdr:colOff>19050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2038350" y="0"/>
        <a:ext cx="45720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20</xdr:col>
      <xdr:colOff>66675</xdr:colOff>
      <xdr:row>17</xdr:row>
      <xdr:rowOff>57150</xdr:rowOff>
    </xdr:to>
    <xdr:graphicFrame>
      <xdr:nvGraphicFramePr>
        <xdr:cNvPr id="3" name="Chart 3"/>
        <xdr:cNvGraphicFramePr/>
      </xdr:nvGraphicFramePr>
      <xdr:xfrm>
        <a:off x="6610350" y="0"/>
        <a:ext cx="49625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19050</xdr:colOff>
      <xdr:row>17</xdr:row>
      <xdr:rowOff>57150</xdr:rowOff>
    </xdr:from>
    <xdr:to>
      <xdr:col>20</xdr:col>
      <xdr:colOff>57150</xdr:colOff>
      <xdr:row>35</xdr:row>
      <xdr:rowOff>57150</xdr:rowOff>
    </xdr:to>
    <xdr:graphicFrame>
      <xdr:nvGraphicFramePr>
        <xdr:cNvPr id="4" name="Chart 4"/>
        <xdr:cNvGraphicFramePr/>
      </xdr:nvGraphicFramePr>
      <xdr:xfrm>
        <a:off x="6610350" y="3295650"/>
        <a:ext cx="49530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3.00390625" style="0" customWidth="1"/>
    <col min="4" max="4" width="32.421875" style="0" customWidth="1"/>
    <col min="5" max="5" width="0.42578125" style="128" hidden="1" customWidth="1"/>
    <col min="6" max="7" width="0.71875" style="128" hidden="1" customWidth="1"/>
    <col min="8" max="8" width="0.13671875" style="128" hidden="1" customWidth="1"/>
    <col min="9" max="10" width="9.7109375" style="128" hidden="1" customWidth="1"/>
    <col min="11" max="12" width="11.140625" style="128" customWidth="1"/>
    <col min="13" max="14" width="11.140625" style="116" customWidth="1"/>
    <col min="15" max="15" width="7.140625" style="116" customWidth="1"/>
    <col min="16" max="16" width="9.140625" style="116" customWidth="1"/>
    <col min="17" max="17" width="11.57421875" style="0" customWidth="1"/>
    <col min="22" max="22" width="10.57421875" style="0" bestFit="1" customWidth="1"/>
  </cols>
  <sheetData>
    <row r="1" spans="1:16" ht="18.75" thickBot="1">
      <c r="A1" s="1" t="s">
        <v>0</v>
      </c>
      <c r="B1" s="2"/>
      <c r="C1" s="2"/>
      <c r="D1" s="2"/>
      <c r="E1" s="437" t="s">
        <v>1</v>
      </c>
      <c r="F1" s="438"/>
      <c r="G1" s="437" t="s">
        <v>2</v>
      </c>
      <c r="H1" s="438"/>
      <c r="I1" s="437" t="s">
        <v>3</v>
      </c>
      <c r="J1" s="438"/>
      <c r="K1" s="437" t="s">
        <v>166</v>
      </c>
      <c r="L1" s="438"/>
      <c r="M1" s="435" t="s">
        <v>165</v>
      </c>
      <c r="N1" s="436"/>
      <c r="O1" s="3" t="s">
        <v>167</v>
      </c>
      <c r="P1" s="3"/>
    </row>
    <row r="2" spans="1:16" ht="13.5" thickBot="1">
      <c r="A2" s="4" t="s">
        <v>4</v>
      </c>
      <c r="B2" s="5" t="s">
        <v>5</v>
      </c>
      <c r="C2" s="5" t="s">
        <v>6</v>
      </c>
      <c r="D2" s="6" t="s">
        <v>7</v>
      </c>
      <c r="E2" s="7"/>
      <c r="F2" s="8" t="s">
        <v>8</v>
      </c>
      <c r="G2" s="7"/>
      <c r="H2" s="8" t="s">
        <v>8</v>
      </c>
      <c r="I2" s="7"/>
      <c r="J2" s="8" t="s">
        <v>8</v>
      </c>
      <c r="K2" s="7"/>
      <c r="L2" s="8" t="s">
        <v>8</v>
      </c>
      <c r="M2" s="209"/>
      <c r="N2" s="9" t="s">
        <v>8</v>
      </c>
      <c r="O2" s="10"/>
      <c r="P2" s="10"/>
    </row>
    <row r="3" spans="1:16" ht="12.75">
      <c r="A3" s="11" t="s">
        <v>9</v>
      </c>
      <c r="B3" s="12" t="s">
        <v>10</v>
      </c>
      <c r="C3" s="12">
        <v>1</v>
      </c>
      <c r="D3" s="13" t="s">
        <v>11</v>
      </c>
      <c r="E3" s="14">
        <f>10483.3+814</f>
        <v>11297.3</v>
      </c>
      <c r="F3" s="15"/>
      <c r="G3" s="14">
        <f>10483.3+814</f>
        <v>11297.3</v>
      </c>
      <c r="H3" s="15"/>
      <c r="I3" s="14">
        <f>10483.3+814</f>
        <v>11297.3</v>
      </c>
      <c r="J3" s="15"/>
      <c r="K3" s="156">
        <f>10501.4+850+576+159.5</f>
        <v>12086.9</v>
      </c>
      <c r="L3" s="159"/>
      <c r="M3" s="210">
        <f>159.5+7887.2+576+850</f>
        <v>9472.7</v>
      </c>
      <c r="N3" s="211"/>
      <c r="O3" s="237">
        <f>+M3/K3</f>
        <v>0.7837162547882419</v>
      </c>
      <c r="P3" s="16"/>
    </row>
    <row r="4" spans="1:16" ht="12.75">
      <c r="A4" s="21"/>
      <c r="B4" s="22"/>
      <c r="C4" s="18">
        <v>2</v>
      </c>
      <c r="D4" s="24" t="s">
        <v>12</v>
      </c>
      <c r="E4" s="20">
        <v>0</v>
      </c>
      <c r="F4" s="23"/>
      <c r="G4" s="20">
        <v>323</v>
      </c>
      <c r="H4" s="23"/>
      <c r="I4" s="20">
        <v>323</v>
      </c>
      <c r="J4" s="23"/>
      <c r="K4" s="157">
        <v>301.7</v>
      </c>
      <c r="L4" s="160"/>
      <c r="M4" s="186">
        <v>301.7</v>
      </c>
      <c r="N4" s="212"/>
      <c r="O4" s="237">
        <f aca="true" t="shared" si="0" ref="O4:O66">+M4/K4</f>
        <v>1</v>
      </c>
      <c r="P4" s="16"/>
    </row>
    <row r="5" spans="1:16" ht="12.75">
      <c r="A5" s="21"/>
      <c r="B5" s="22"/>
      <c r="C5" s="18">
        <f aca="true" t="shared" si="1" ref="C5:C17">+C4+1</f>
        <v>3</v>
      </c>
      <c r="D5" s="25" t="s">
        <v>13</v>
      </c>
      <c r="E5" s="20">
        <v>0</v>
      </c>
      <c r="F5" s="23"/>
      <c r="G5" s="20">
        <v>100</v>
      </c>
      <c r="H5" s="23"/>
      <c r="I5" s="20">
        <v>150</v>
      </c>
      <c r="J5" s="23"/>
      <c r="K5" s="157">
        <f>205+85+23</f>
        <v>313</v>
      </c>
      <c r="L5" s="160"/>
      <c r="M5" s="186">
        <v>397</v>
      </c>
      <c r="N5" s="212"/>
      <c r="O5" s="237">
        <f t="shared" si="0"/>
        <v>1.268370607028754</v>
      </c>
      <c r="P5" s="16"/>
    </row>
    <row r="6" spans="1:16" ht="12.75">
      <c r="A6" s="21"/>
      <c r="B6" s="22"/>
      <c r="C6" s="18">
        <f t="shared" si="1"/>
        <v>4</v>
      </c>
      <c r="D6" s="25" t="s">
        <v>14</v>
      </c>
      <c r="E6" s="20">
        <v>0</v>
      </c>
      <c r="F6" s="23"/>
      <c r="G6" s="20">
        <v>0</v>
      </c>
      <c r="H6" s="23"/>
      <c r="I6" s="20">
        <v>100</v>
      </c>
      <c r="J6" s="23"/>
      <c r="K6" s="157">
        <f>80+8+71+8+65</f>
        <v>232</v>
      </c>
      <c r="L6" s="160"/>
      <c r="M6" s="186">
        <f>8+215.9</f>
        <v>223.9</v>
      </c>
      <c r="N6" s="212"/>
      <c r="O6" s="237">
        <f t="shared" si="0"/>
        <v>0.9650862068965518</v>
      </c>
      <c r="P6" s="16"/>
    </row>
    <row r="7" spans="1:16" ht="12.75">
      <c r="A7" s="21"/>
      <c r="B7" s="22"/>
      <c r="C7" s="18">
        <f t="shared" si="1"/>
        <v>5</v>
      </c>
      <c r="D7" s="26" t="s">
        <v>15</v>
      </c>
      <c r="E7" s="20">
        <v>0</v>
      </c>
      <c r="F7" s="23"/>
      <c r="G7" s="20">
        <v>0</v>
      </c>
      <c r="H7" s="23"/>
      <c r="I7" s="20">
        <v>925</v>
      </c>
      <c r="J7" s="23"/>
      <c r="K7" s="157">
        <f>300+528</f>
        <v>828</v>
      </c>
      <c r="L7" s="160"/>
      <c r="M7" s="186">
        <v>1013.4</v>
      </c>
      <c r="N7" s="212"/>
      <c r="O7" s="237">
        <f t="shared" si="0"/>
        <v>1.2239130434782608</v>
      </c>
      <c r="P7" s="16"/>
    </row>
    <row r="8" spans="1:16" ht="12.75">
      <c r="A8" s="21"/>
      <c r="B8" s="22"/>
      <c r="C8" s="18">
        <f t="shared" si="1"/>
        <v>6</v>
      </c>
      <c r="D8" s="26" t="s">
        <v>16</v>
      </c>
      <c r="E8" s="20"/>
      <c r="F8" s="23"/>
      <c r="G8" s="20"/>
      <c r="H8" s="23"/>
      <c r="I8" s="20"/>
      <c r="J8" s="23"/>
      <c r="K8" s="157">
        <v>200</v>
      </c>
      <c r="L8" s="160"/>
      <c r="M8" s="186">
        <v>200</v>
      </c>
      <c r="N8" s="212"/>
      <c r="O8" s="237">
        <f t="shared" si="0"/>
        <v>1</v>
      </c>
      <c r="P8" s="16"/>
    </row>
    <row r="9" spans="1:16" ht="12.75">
      <c r="A9" s="21"/>
      <c r="B9" s="22"/>
      <c r="C9" s="18">
        <f t="shared" si="1"/>
        <v>7</v>
      </c>
      <c r="D9" s="26" t="s">
        <v>122</v>
      </c>
      <c r="E9" s="20"/>
      <c r="F9" s="23"/>
      <c r="G9" s="20"/>
      <c r="H9" s="23"/>
      <c r="I9" s="20"/>
      <c r="J9" s="23"/>
      <c r="K9" s="157">
        <v>284.5</v>
      </c>
      <c r="L9" s="160"/>
      <c r="M9" s="186">
        <v>0</v>
      </c>
      <c r="N9" s="212"/>
      <c r="O9" s="237">
        <f t="shared" si="0"/>
        <v>0</v>
      </c>
      <c r="P9" s="16"/>
    </row>
    <row r="10" spans="1:16" ht="12.75">
      <c r="A10" s="21"/>
      <c r="B10" s="22"/>
      <c r="C10" s="18">
        <f t="shared" si="1"/>
        <v>8</v>
      </c>
      <c r="D10" s="26" t="s">
        <v>150</v>
      </c>
      <c r="E10" s="20"/>
      <c r="F10" s="23"/>
      <c r="G10" s="20"/>
      <c r="H10" s="23"/>
      <c r="I10" s="20"/>
      <c r="J10" s="23"/>
      <c r="K10" s="157">
        <v>1383</v>
      </c>
      <c r="L10" s="160"/>
      <c r="M10" s="186">
        <v>0</v>
      </c>
      <c r="N10" s="212"/>
      <c r="O10" s="237">
        <f t="shared" si="0"/>
        <v>0</v>
      </c>
      <c r="P10" s="16"/>
    </row>
    <row r="11" spans="1:16" ht="12.75">
      <c r="A11" s="21"/>
      <c r="B11" s="22"/>
      <c r="C11" s="18">
        <f t="shared" si="1"/>
        <v>9</v>
      </c>
      <c r="D11" s="25" t="s">
        <v>134</v>
      </c>
      <c r="E11" s="20"/>
      <c r="F11" s="23"/>
      <c r="G11" s="20"/>
      <c r="H11" s="23"/>
      <c r="I11" s="20"/>
      <c r="J11" s="23"/>
      <c r="K11" s="157">
        <v>6067</v>
      </c>
      <c r="L11" s="160"/>
      <c r="M11" s="186">
        <v>0</v>
      </c>
      <c r="N11" s="212"/>
      <c r="O11" s="237">
        <f t="shared" si="0"/>
        <v>0</v>
      </c>
      <c r="P11" s="16"/>
    </row>
    <row r="12" spans="1:16" ht="12.75">
      <c r="A12" s="21"/>
      <c r="B12" s="22"/>
      <c r="C12" s="18">
        <f t="shared" si="1"/>
        <v>10</v>
      </c>
      <c r="D12" s="26" t="s">
        <v>130</v>
      </c>
      <c r="E12" s="20"/>
      <c r="F12" s="23"/>
      <c r="G12" s="20"/>
      <c r="H12" s="23"/>
      <c r="I12" s="20"/>
      <c r="J12" s="23"/>
      <c r="K12" s="157">
        <v>390.2</v>
      </c>
      <c r="L12" s="160"/>
      <c r="M12" s="186">
        <f>21.7+368.5</f>
        <v>390.2</v>
      </c>
      <c r="N12" s="212"/>
      <c r="O12" s="237">
        <f t="shared" si="0"/>
        <v>1</v>
      </c>
      <c r="P12" s="16"/>
    </row>
    <row r="13" spans="1:15" ht="12.75">
      <c r="A13" s="21"/>
      <c r="B13" s="22"/>
      <c r="C13" s="18">
        <f t="shared" si="1"/>
        <v>11</v>
      </c>
      <c r="D13" s="26" t="s">
        <v>149</v>
      </c>
      <c r="E13" s="20"/>
      <c r="F13" s="23"/>
      <c r="G13" s="20"/>
      <c r="H13" s="23"/>
      <c r="I13" s="20"/>
      <c r="J13" s="23"/>
      <c r="K13" s="157">
        <v>11103.9</v>
      </c>
      <c r="L13" s="160"/>
      <c r="M13" s="186">
        <v>11103.9</v>
      </c>
      <c r="N13" s="212"/>
      <c r="O13" s="237">
        <f t="shared" si="0"/>
        <v>1</v>
      </c>
    </row>
    <row r="14" spans="1:17" ht="12.75">
      <c r="A14" s="21"/>
      <c r="B14" s="22"/>
      <c r="C14" s="18">
        <f t="shared" si="1"/>
        <v>12</v>
      </c>
      <c r="D14" s="26" t="s">
        <v>160</v>
      </c>
      <c r="E14" s="20"/>
      <c r="F14" s="23"/>
      <c r="G14" s="20"/>
      <c r="H14" s="23"/>
      <c r="I14" s="20"/>
      <c r="J14" s="23"/>
      <c r="K14" s="157">
        <v>2962</v>
      </c>
      <c r="L14" s="160"/>
      <c r="M14" s="186">
        <v>0</v>
      </c>
      <c r="N14" s="212"/>
      <c r="O14" s="237">
        <f t="shared" si="0"/>
        <v>0</v>
      </c>
      <c r="P14" s="188">
        <f>SUM(M9:M14)+178.5</f>
        <v>11672.6</v>
      </c>
      <c r="Q14" s="27" t="s">
        <v>17</v>
      </c>
    </row>
    <row r="15" spans="1:17" ht="12.75">
      <c r="A15" s="21"/>
      <c r="B15" s="22"/>
      <c r="C15" s="18">
        <f t="shared" si="1"/>
        <v>13</v>
      </c>
      <c r="D15" s="26" t="s">
        <v>155</v>
      </c>
      <c r="E15" s="20"/>
      <c r="F15" s="23"/>
      <c r="G15" s="20"/>
      <c r="H15" s="23"/>
      <c r="I15" s="20"/>
      <c r="J15" s="23"/>
      <c r="K15" s="157">
        <f>23.8+332.7</f>
        <v>356.5</v>
      </c>
      <c r="L15" s="160"/>
      <c r="M15" s="186">
        <f>23.8+332.7</f>
        <v>356.5</v>
      </c>
      <c r="N15" s="212"/>
      <c r="O15" s="237">
        <f t="shared" si="0"/>
        <v>1</v>
      </c>
      <c r="P15" s="188"/>
      <c r="Q15" s="27"/>
    </row>
    <row r="16" spans="1:17" ht="12.75">
      <c r="A16" s="21"/>
      <c r="B16" s="22"/>
      <c r="C16" s="18">
        <f t="shared" si="1"/>
        <v>14</v>
      </c>
      <c r="D16" s="26" t="s">
        <v>163</v>
      </c>
      <c r="E16" s="20"/>
      <c r="F16" s="23"/>
      <c r="G16" s="20"/>
      <c r="H16" s="23"/>
      <c r="I16" s="20"/>
      <c r="J16" s="23"/>
      <c r="K16" s="157">
        <v>140</v>
      </c>
      <c r="L16" s="160"/>
      <c r="M16" s="186">
        <v>140</v>
      </c>
      <c r="N16" s="212"/>
      <c r="O16" s="237">
        <f t="shared" si="0"/>
        <v>1</v>
      </c>
      <c r="P16" s="188"/>
      <c r="Q16" s="27"/>
    </row>
    <row r="17" spans="1:16" ht="12.75">
      <c r="A17" s="21"/>
      <c r="B17" s="22"/>
      <c r="C17" s="18">
        <f t="shared" si="1"/>
        <v>15</v>
      </c>
      <c r="D17" s="26" t="s">
        <v>125</v>
      </c>
      <c r="E17" s="28">
        <v>0</v>
      </c>
      <c r="F17" s="23"/>
      <c r="G17" s="28">
        <f>69+31</f>
        <v>100</v>
      </c>
      <c r="H17" s="23"/>
      <c r="I17" s="28">
        <v>9</v>
      </c>
      <c r="J17" s="23"/>
      <c r="K17" s="157">
        <f>178.5+155.8+20+200</f>
        <v>554.3</v>
      </c>
      <c r="L17" s="160"/>
      <c r="M17" s="186">
        <f>178.5+200.3+231.3+20</f>
        <v>630.1</v>
      </c>
      <c r="N17" s="212"/>
      <c r="O17" s="237">
        <f t="shared" si="0"/>
        <v>1.1367490528594626</v>
      </c>
      <c r="P17" s="16"/>
    </row>
    <row r="18" spans="1:17" ht="13.5" thickBot="1">
      <c r="A18" s="29"/>
      <c r="B18" s="30"/>
      <c r="C18" s="30"/>
      <c r="D18" s="31" t="s">
        <v>8</v>
      </c>
      <c r="E18" s="32"/>
      <c r="F18" s="33">
        <f>SUM(E3:E17)</f>
        <v>11297.3</v>
      </c>
      <c r="G18" s="32"/>
      <c r="H18" s="33">
        <f>SUM(G3:G17)</f>
        <v>11820.3</v>
      </c>
      <c r="I18" s="32"/>
      <c r="J18" s="33">
        <f>SUM(I3:I17)</f>
        <v>12804.3</v>
      </c>
      <c r="K18" s="161"/>
      <c r="L18" s="189">
        <f>SUM(K3:K17)</f>
        <v>37203</v>
      </c>
      <c r="M18" s="213"/>
      <c r="N18" s="158">
        <f>SUM(M3:M17)</f>
        <v>24229.4</v>
      </c>
      <c r="O18" s="236">
        <f>+N18/L18</f>
        <v>0.6512754347767653</v>
      </c>
      <c r="P18" s="34"/>
      <c r="Q18" s="188"/>
    </row>
    <row r="19" spans="1:16" ht="12.75">
      <c r="A19" s="35" t="s">
        <v>18</v>
      </c>
      <c r="B19" s="36" t="s">
        <v>19</v>
      </c>
      <c r="C19" s="36">
        <v>1</v>
      </c>
      <c r="D19" s="24" t="s">
        <v>20</v>
      </c>
      <c r="E19" s="37">
        <v>3000</v>
      </c>
      <c r="F19" s="38"/>
      <c r="G19" s="37">
        <v>3000</v>
      </c>
      <c r="H19" s="38"/>
      <c r="I19" s="37">
        <v>3000</v>
      </c>
      <c r="J19" s="38"/>
      <c r="K19" s="162">
        <v>2770</v>
      </c>
      <c r="L19" s="163"/>
      <c r="M19" s="205">
        <v>1934</v>
      </c>
      <c r="N19" s="214"/>
      <c r="O19" s="237">
        <f t="shared" si="0"/>
        <v>0.6981949458483755</v>
      </c>
      <c r="P19" s="16"/>
    </row>
    <row r="20" spans="1:16" ht="12.75">
      <c r="A20" s="17"/>
      <c r="B20" s="18"/>
      <c r="C20" s="18">
        <v>2</v>
      </c>
      <c r="D20" s="19" t="s">
        <v>21</v>
      </c>
      <c r="E20" s="20">
        <f>6600+440+13700+550+5860</f>
        <v>27150</v>
      </c>
      <c r="F20" s="23"/>
      <c r="G20" s="20">
        <f>6600+440+13700+550+5860</f>
        <v>27150</v>
      </c>
      <c r="H20" s="23"/>
      <c r="I20" s="20">
        <f>6600+440+13700+550+5860</f>
        <v>27150</v>
      </c>
      <c r="J20" s="23"/>
      <c r="K20" s="157">
        <v>38133</v>
      </c>
      <c r="L20" s="160"/>
      <c r="M20" s="186">
        <f>7101+1383+808+7926+13671+1</f>
        <v>30890</v>
      </c>
      <c r="N20" s="212"/>
      <c r="O20" s="237">
        <f t="shared" si="0"/>
        <v>0.8100595284923819</v>
      </c>
      <c r="P20" s="16"/>
    </row>
    <row r="21" spans="1:16" ht="12.75">
      <c r="A21" s="17"/>
      <c r="B21" s="18"/>
      <c r="C21" s="18">
        <v>3</v>
      </c>
      <c r="D21" s="19" t="s">
        <v>22</v>
      </c>
      <c r="E21" s="28">
        <v>1000</v>
      </c>
      <c r="F21" s="23"/>
      <c r="G21" s="28">
        <v>570</v>
      </c>
      <c r="H21" s="23"/>
      <c r="I21" s="28">
        <v>570</v>
      </c>
      <c r="J21" s="23"/>
      <c r="K21" s="157">
        <v>1700</v>
      </c>
      <c r="L21" s="160"/>
      <c r="M21" s="186">
        <v>1700</v>
      </c>
      <c r="N21" s="212"/>
      <c r="O21" s="237">
        <f t="shared" si="0"/>
        <v>1</v>
      </c>
      <c r="P21" s="16"/>
    </row>
    <row r="22" spans="1:16" ht="13.5" thickBot="1">
      <c r="A22" s="29"/>
      <c r="B22" s="30"/>
      <c r="C22" s="30"/>
      <c r="D22" s="31" t="s">
        <v>23</v>
      </c>
      <c r="E22" s="32"/>
      <c r="F22" s="33">
        <f>SUM(E19:E21)</f>
        <v>31150</v>
      </c>
      <c r="G22" s="32"/>
      <c r="H22" s="33">
        <f>SUM(G19:G21)</f>
        <v>30720</v>
      </c>
      <c r="I22" s="32"/>
      <c r="J22" s="33">
        <f>SUM(I19:I21)</f>
        <v>30720</v>
      </c>
      <c r="K22" s="161"/>
      <c r="L22" s="189">
        <f>SUM(K19:K21)</f>
        <v>42603</v>
      </c>
      <c r="M22" s="213"/>
      <c r="N22" s="158">
        <f>SUM(M19:M21)</f>
        <v>34524</v>
      </c>
      <c r="O22" s="236">
        <f>+N22/L22</f>
        <v>0.8103654672206183</v>
      </c>
      <c r="P22" s="34"/>
    </row>
    <row r="23" spans="1:16" ht="12.75">
      <c r="A23" s="17" t="s">
        <v>24</v>
      </c>
      <c r="B23" s="36" t="s">
        <v>25</v>
      </c>
      <c r="C23" s="18">
        <v>1</v>
      </c>
      <c r="D23" s="19" t="s">
        <v>26</v>
      </c>
      <c r="E23" s="28">
        <v>1250</v>
      </c>
      <c r="F23" s="23"/>
      <c r="G23" s="28">
        <v>1250</v>
      </c>
      <c r="H23" s="23"/>
      <c r="I23" s="28">
        <v>1250</v>
      </c>
      <c r="J23" s="23"/>
      <c r="K23" s="157">
        <v>1170</v>
      </c>
      <c r="L23" s="160"/>
      <c r="M23" s="186">
        <f>890+30+22</f>
        <v>942</v>
      </c>
      <c r="N23" s="212"/>
      <c r="O23" s="237">
        <f t="shared" si="0"/>
        <v>0.8051282051282052</v>
      </c>
      <c r="P23" s="16"/>
    </row>
    <row r="24" spans="1:16" ht="12.75">
      <c r="A24" s="17"/>
      <c r="B24" s="18"/>
      <c r="C24" s="18">
        <f aca="true" t="shared" si="2" ref="C24:C33">+C23+1</f>
        <v>2</v>
      </c>
      <c r="D24" s="19" t="s">
        <v>27</v>
      </c>
      <c r="E24" s="28">
        <v>350</v>
      </c>
      <c r="F24" s="23"/>
      <c r="G24" s="28">
        <v>350</v>
      </c>
      <c r="H24" s="23"/>
      <c r="I24" s="28">
        <v>350</v>
      </c>
      <c r="J24" s="23"/>
      <c r="K24" s="157">
        <v>260</v>
      </c>
      <c r="L24" s="160"/>
      <c r="M24" s="186">
        <f>24+5+266+20+1+1</f>
        <v>317</v>
      </c>
      <c r="N24" s="212"/>
      <c r="O24" s="237">
        <f t="shared" si="0"/>
        <v>1.2192307692307693</v>
      </c>
      <c r="P24" s="16"/>
    </row>
    <row r="25" spans="1:16" ht="12.75">
      <c r="A25" s="17"/>
      <c r="B25" s="18"/>
      <c r="C25" s="18">
        <f t="shared" si="2"/>
        <v>3</v>
      </c>
      <c r="D25" s="19" t="s">
        <v>28</v>
      </c>
      <c r="E25" s="28">
        <v>130</v>
      </c>
      <c r="F25" s="23"/>
      <c r="G25" s="28">
        <v>130</v>
      </c>
      <c r="H25" s="23"/>
      <c r="I25" s="28">
        <v>130</v>
      </c>
      <c r="J25" s="23"/>
      <c r="K25" s="157">
        <v>120</v>
      </c>
      <c r="L25" s="160"/>
      <c r="M25" s="186">
        <v>101</v>
      </c>
      <c r="N25" s="212"/>
      <c r="O25" s="237">
        <f t="shared" si="0"/>
        <v>0.8416666666666667</v>
      </c>
      <c r="P25" s="16"/>
    </row>
    <row r="26" spans="1:16" ht="12.75">
      <c r="A26" s="17"/>
      <c r="B26" s="18"/>
      <c r="C26" s="18">
        <f t="shared" si="2"/>
        <v>4</v>
      </c>
      <c r="D26" s="19" t="s">
        <v>29</v>
      </c>
      <c r="E26" s="28">
        <v>240</v>
      </c>
      <c r="F26" s="23"/>
      <c r="G26" s="28">
        <v>240</v>
      </c>
      <c r="H26" s="23"/>
      <c r="I26" s="28">
        <v>240</v>
      </c>
      <c r="J26" s="23"/>
      <c r="K26" s="157">
        <v>450</v>
      </c>
      <c r="L26" s="160"/>
      <c r="M26" s="186">
        <f>449+252</f>
        <v>701</v>
      </c>
      <c r="N26" s="212"/>
      <c r="O26" s="237">
        <f t="shared" si="0"/>
        <v>1.5577777777777777</v>
      </c>
      <c r="P26" s="16"/>
    </row>
    <row r="27" spans="1:16" ht="12.75">
      <c r="A27" s="17"/>
      <c r="B27" s="18"/>
      <c r="C27" s="18">
        <f t="shared" si="2"/>
        <v>5</v>
      </c>
      <c r="D27" s="19" t="s">
        <v>30</v>
      </c>
      <c r="E27" s="28">
        <v>220</v>
      </c>
      <c r="F27" s="23"/>
      <c r="G27" s="28">
        <v>220</v>
      </c>
      <c r="H27" s="23"/>
      <c r="I27" s="28">
        <v>220</v>
      </c>
      <c r="J27" s="23"/>
      <c r="K27" s="157">
        <v>110</v>
      </c>
      <c r="L27" s="160"/>
      <c r="M27" s="186">
        <f>25+24+7+20</f>
        <v>76</v>
      </c>
      <c r="N27" s="212"/>
      <c r="O27" s="237">
        <f t="shared" si="0"/>
        <v>0.6909090909090909</v>
      </c>
      <c r="P27" s="16"/>
    </row>
    <row r="28" spans="1:16" ht="12.75">
      <c r="A28" s="17"/>
      <c r="B28" s="18" t="s">
        <v>31</v>
      </c>
      <c r="C28" s="18">
        <f t="shared" si="2"/>
        <v>6</v>
      </c>
      <c r="D28" s="19" t="s">
        <v>32</v>
      </c>
      <c r="E28" s="28">
        <v>1800</v>
      </c>
      <c r="F28" s="23"/>
      <c r="G28" s="28">
        <v>1800</v>
      </c>
      <c r="H28" s="23"/>
      <c r="I28" s="28">
        <v>1800</v>
      </c>
      <c r="J28" s="23"/>
      <c r="K28" s="157">
        <v>3000</v>
      </c>
      <c r="L28" s="160"/>
      <c r="M28" s="186">
        <f>114+1252+3</f>
        <v>1369</v>
      </c>
      <c r="N28" s="212"/>
      <c r="O28" s="237">
        <f t="shared" si="0"/>
        <v>0.4563333333333333</v>
      </c>
      <c r="P28" s="16"/>
    </row>
    <row r="29" spans="1:16" ht="12.75">
      <c r="A29" s="17"/>
      <c r="B29" s="18" t="s">
        <v>33</v>
      </c>
      <c r="C29" s="18">
        <f t="shared" si="2"/>
        <v>7</v>
      </c>
      <c r="D29" s="19" t="s">
        <v>34</v>
      </c>
      <c r="E29" s="28">
        <v>112</v>
      </c>
      <c r="F29" s="23"/>
      <c r="G29" s="28">
        <v>112</v>
      </c>
      <c r="H29" s="23"/>
      <c r="I29" s="28">
        <v>112</v>
      </c>
      <c r="J29" s="23"/>
      <c r="K29" s="157">
        <v>112</v>
      </c>
      <c r="L29" s="160"/>
      <c r="M29" s="186">
        <v>105</v>
      </c>
      <c r="N29" s="212"/>
      <c r="O29" s="237">
        <f t="shared" si="0"/>
        <v>0.9375</v>
      </c>
      <c r="P29" s="16"/>
    </row>
    <row r="30" spans="1:16" ht="12.75">
      <c r="A30" s="17"/>
      <c r="B30" s="18"/>
      <c r="C30" s="18">
        <f t="shared" si="2"/>
        <v>8</v>
      </c>
      <c r="D30" s="19" t="s">
        <v>35</v>
      </c>
      <c r="E30" s="28">
        <v>198</v>
      </c>
      <c r="F30" s="23"/>
      <c r="G30" s="28">
        <v>198</v>
      </c>
      <c r="H30" s="23"/>
      <c r="I30" s="28">
        <v>198</v>
      </c>
      <c r="J30" s="23"/>
      <c r="K30" s="157">
        <v>198</v>
      </c>
      <c r="L30" s="160"/>
      <c r="M30" s="186">
        <v>90</v>
      </c>
      <c r="N30" s="212"/>
      <c r="O30" s="237">
        <f t="shared" si="0"/>
        <v>0.45454545454545453</v>
      </c>
      <c r="P30" s="16"/>
    </row>
    <row r="31" spans="1:16" ht="12.75">
      <c r="A31" s="17"/>
      <c r="B31" s="18"/>
      <c r="C31" s="18">
        <f t="shared" si="2"/>
        <v>9</v>
      </c>
      <c r="D31" s="19" t="s">
        <v>36</v>
      </c>
      <c r="E31" s="28">
        <v>60</v>
      </c>
      <c r="F31" s="23"/>
      <c r="G31" s="28">
        <v>60</v>
      </c>
      <c r="H31" s="23"/>
      <c r="I31" s="28">
        <v>60</v>
      </c>
      <c r="J31" s="23"/>
      <c r="K31" s="157">
        <v>60</v>
      </c>
      <c r="L31" s="160"/>
      <c r="M31" s="186">
        <f>35+5</f>
        <v>40</v>
      </c>
      <c r="N31" s="212"/>
      <c r="O31" s="237">
        <f t="shared" si="0"/>
        <v>0.6666666666666666</v>
      </c>
      <c r="P31" s="16"/>
    </row>
    <row r="32" spans="1:16" ht="12.75">
      <c r="A32" s="21"/>
      <c r="B32" s="22"/>
      <c r="C32" s="18">
        <f t="shared" si="2"/>
        <v>10</v>
      </c>
      <c r="D32" s="26" t="s">
        <v>37</v>
      </c>
      <c r="E32" s="39">
        <v>2135</v>
      </c>
      <c r="F32" s="40"/>
      <c r="G32" s="39">
        <v>2135</v>
      </c>
      <c r="H32" s="40"/>
      <c r="I32" s="39">
        <v>2135</v>
      </c>
      <c r="J32" s="40"/>
      <c r="K32" s="164">
        <v>3150</v>
      </c>
      <c r="L32" s="165"/>
      <c r="M32" s="215">
        <v>3090</v>
      </c>
      <c r="N32" s="216"/>
      <c r="O32" s="237">
        <f t="shared" si="0"/>
        <v>0.9809523809523809</v>
      </c>
      <c r="P32" s="16"/>
    </row>
    <row r="33" spans="1:16" ht="12.75">
      <c r="A33" s="21"/>
      <c r="B33" s="22" t="s">
        <v>38</v>
      </c>
      <c r="C33" s="18">
        <f t="shared" si="2"/>
        <v>11</v>
      </c>
      <c r="D33" s="26" t="s">
        <v>39</v>
      </c>
      <c r="E33" s="39">
        <v>170</v>
      </c>
      <c r="F33" s="40"/>
      <c r="G33" s="39">
        <v>170</v>
      </c>
      <c r="H33" s="40"/>
      <c r="I33" s="39">
        <v>170</v>
      </c>
      <c r="J33" s="40"/>
      <c r="K33" s="164">
        <v>100</v>
      </c>
      <c r="L33" s="165"/>
      <c r="M33" s="215">
        <f>74+4</f>
        <v>78</v>
      </c>
      <c r="N33" s="216"/>
      <c r="O33" s="237">
        <f t="shared" si="0"/>
        <v>0.78</v>
      </c>
      <c r="P33" s="16"/>
    </row>
    <row r="34" spans="1:16" ht="13.5" thickBot="1">
      <c r="A34" s="29"/>
      <c r="B34" s="30"/>
      <c r="C34" s="30"/>
      <c r="D34" s="31" t="s">
        <v>23</v>
      </c>
      <c r="E34" s="32"/>
      <c r="F34" s="41">
        <f>SUM(E23:E33)</f>
        <v>6665</v>
      </c>
      <c r="G34" s="32"/>
      <c r="H34" s="41">
        <f>SUM(G23:G33)</f>
        <v>6665</v>
      </c>
      <c r="I34" s="32"/>
      <c r="J34" s="41">
        <f>SUM(I23:I33)</f>
        <v>6665</v>
      </c>
      <c r="K34" s="161"/>
      <c r="L34" s="189">
        <f>SUM(K23:K33)</f>
        <v>8730</v>
      </c>
      <c r="M34" s="213"/>
      <c r="N34" s="158">
        <f>SUM(M23:M33)</f>
        <v>6909</v>
      </c>
      <c r="O34" s="236">
        <f>+N34/L34</f>
        <v>0.7914089347079037</v>
      </c>
      <c r="P34" s="16"/>
    </row>
    <row r="35" spans="1:16" ht="12.75">
      <c r="A35" s="11" t="s">
        <v>40</v>
      </c>
      <c r="B35" s="12" t="s">
        <v>41</v>
      </c>
      <c r="C35" s="12">
        <v>1</v>
      </c>
      <c r="D35" s="13" t="s">
        <v>42</v>
      </c>
      <c r="E35" s="42">
        <v>238</v>
      </c>
      <c r="F35" s="15"/>
      <c r="G35" s="42">
        <v>238</v>
      </c>
      <c r="H35" s="15"/>
      <c r="I35" s="42">
        <v>238</v>
      </c>
      <c r="J35" s="15"/>
      <c r="K35" s="166">
        <v>212</v>
      </c>
      <c r="L35" s="159"/>
      <c r="M35" s="217">
        <f>645-616</f>
        <v>29</v>
      </c>
      <c r="N35" s="211"/>
      <c r="O35" s="237">
        <f t="shared" si="0"/>
        <v>0.13679245283018868</v>
      </c>
      <c r="P35" s="16"/>
    </row>
    <row r="36" spans="1:16" ht="12.75">
      <c r="A36" s="17"/>
      <c r="B36" s="18" t="s">
        <v>43</v>
      </c>
      <c r="C36" s="18">
        <v>2</v>
      </c>
      <c r="D36" s="19" t="s">
        <v>44</v>
      </c>
      <c r="E36" s="28">
        <v>4000</v>
      </c>
      <c r="F36" s="23"/>
      <c r="G36" s="28">
        <v>4000</v>
      </c>
      <c r="H36" s="23"/>
      <c r="I36" s="28">
        <v>3950</v>
      </c>
      <c r="J36" s="23"/>
      <c r="K36" s="157">
        <v>1550</v>
      </c>
      <c r="L36" s="160"/>
      <c r="M36" s="186">
        <v>616</v>
      </c>
      <c r="N36" s="212"/>
      <c r="O36" s="237">
        <f t="shared" si="0"/>
        <v>0.39741935483870966</v>
      </c>
      <c r="P36" s="16"/>
    </row>
    <row r="37" spans="1:16" ht="12.75">
      <c r="A37" s="21"/>
      <c r="B37" s="22"/>
      <c r="C37" s="18">
        <v>3</v>
      </c>
      <c r="D37" s="26" t="s">
        <v>133</v>
      </c>
      <c r="E37" s="39">
        <v>2500</v>
      </c>
      <c r="F37" s="40"/>
      <c r="G37" s="39">
        <v>2500</v>
      </c>
      <c r="H37" s="40"/>
      <c r="I37" s="39">
        <v>2550</v>
      </c>
      <c r="J37" s="40"/>
      <c r="K37" s="164">
        <v>1112</v>
      </c>
      <c r="L37" s="165"/>
      <c r="M37" s="215">
        <v>0</v>
      </c>
      <c r="N37" s="216"/>
      <c r="O37" s="237">
        <f t="shared" si="0"/>
        <v>0</v>
      </c>
      <c r="P37" s="16"/>
    </row>
    <row r="38" spans="1:16" ht="12.75">
      <c r="A38" s="21"/>
      <c r="B38" s="22"/>
      <c r="C38" s="18">
        <v>4</v>
      </c>
      <c r="D38" s="26" t="s">
        <v>45</v>
      </c>
      <c r="E38" s="39">
        <f>24*12</f>
        <v>288</v>
      </c>
      <c r="F38" s="40"/>
      <c r="G38" s="39">
        <f>24*12</f>
        <v>288</v>
      </c>
      <c r="H38" s="40"/>
      <c r="I38" s="39">
        <f>24*12</f>
        <v>288</v>
      </c>
      <c r="J38" s="40"/>
      <c r="K38" s="164">
        <v>211</v>
      </c>
      <c r="L38" s="165"/>
      <c r="M38" s="215">
        <v>155</v>
      </c>
      <c r="N38" s="216"/>
      <c r="O38" s="237">
        <f t="shared" si="0"/>
        <v>0.7345971563981043</v>
      </c>
      <c r="P38" s="16"/>
    </row>
    <row r="39" spans="1:16" ht="12.75">
      <c r="A39" s="21"/>
      <c r="B39" s="22"/>
      <c r="C39" s="18">
        <v>5</v>
      </c>
      <c r="D39" s="26" t="s">
        <v>152</v>
      </c>
      <c r="E39" s="39"/>
      <c r="F39" s="40"/>
      <c r="G39" s="39"/>
      <c r="H39" s="40"/>
      <c r="I39" s="39"/>
      <c r="J39" s="40"/>
      <c r="K39" s="164">
        <v>1050</v>
      </c>
      <c r="L39" s="165"/>
      <c r="M39" s="215">
        <v>242</v>
      </c>
      <c r="N39" s="216"/>
      <c r="O39" s="237">
        <f t="shared" si="0"/>
        <v>0.23047619047619047</v>
      </c>
      <c r="P39" s="16"/>
    </row>
    <row r="40" spans="1:16" ht="13.5" thickBot="1">
      <c r="A40" s="29"/>
      <c r="B40" s="30"/>
      <c r="C40" s="30"/>
      <c r="D40" s="31" t="s">
        <v>23</v>
      </c>
      <c r="E40" s="32"/>
      <c r="F40" s="41">
        <f>SUM(E35:E38)</f>
        <v>7026</v>
      </c>
      <c r="G40" s="32"/>
      <c r="H40" s="41">
        <f>SUM(G35:G38)</f>
        <v>7026</v>
      </c>
      <c r="I40" s="32"/>
      <c r="J40" s="41">
        <f>SUM(I35:I38)</f>
        <v>7026</v>
      </c>
      <c r="K40" s="161"/>
      <c r="L40" s="189">
        <f>SUM(K35:K39)</f>
        <v>4135</v>
      </c>
      <c r="M40" s="213"/>
      <c r="N40" s="158">
        <f>SUM(M35:M39)</f>
        <v>1042</v>
      </c>
      <c r="O40" s="236">
        <f>+N40/L40</f>
        <v>0.25199516324062876</v>
      </c>
      <c r="P40" s="16"/>
    </row>
    <row r="41" spans="1:16" ht="12.75">
      <c r="A41" s="11" t="s">
        <v>46</v>
      </c>
      <c r="B41" s="43" t="s">
        <v>47</v>
      </c>
      <c r="C41" s="43">
        <v>1</v>
      </c>
      <c r="D41" s="13" t="s">
        <v>48</v>
      </c>
      <c r="E41" s="42">
        <v>134</v>
      </c>
      <c r="F41" s="15"/>
      <c r="G41" s="42">
        <v>134</v>
      </c>
      <c r="H41" s="15"/>
      <c r="I41" s="42">
        <v>134</v>
      </c>
      <c r="J41" s="15"/>
      <c r="K41" s="166">
        <v>134</v>
      </c>
      <c r="L41" s="159"/>
      <c r="M41" s="217">
        <v>134</v>
      </c>
      <c r="N41" s="211"/>
      <c r="O41" s="237">
        <f t="shared" si="0"/>
        <v>1</v>
      </c>
      <c r="P41" s="16"/>
    </row>
    <row r="42" spans="1:16" ht="12.75">
      <c r="A42" s="35"/>
      <c r="B42" s="44"/>
      <c r="C42" s="44">
        <v>2</v>
      </c>
      <c r="D42" s="24" t="s">
        <v>49</v>
      </c>
      <c r="E42" s="37">
        <v>300</v>
      </c>
      <c r="F42" s="38"/>
      <c r="G42" s="37">
        <v>350</v>
      </c>
      <c r="H42" s="38"/>
      <c r="I42" s="37">
        <v>350</v>
      </c>
      <c r="J42" s="38"/>
      <c r="K42" s="162">
        <v>350</v>
      </c>
      <c r="L42" s="163"/>
      <c r="M42" s="205">
        <f>91+228-134</f>
        <v>185</v>
      </c>
      <c r="N42" s="214"/>
      <c r="O42" s="237">
        <f t="shared" si="0"/>
        <v>0.5285714285714286</v>
      </c>
      <c r="P42" s="16"/>
    </row>
    <row r="43" spans="1:16" ht="12.75">
      <c r="A43" s="17"/>
      <c r="B43" s="45"/>
      <c r="C43" s="45">
        <v>3</v>
      </c>
      <c r="D43" s="19" t="s">
        <v>50</v>
      </c>
      <c r="E43" s="28">
        <v>446</v>
      </c>
      <c r="F43" s="23"/>
      <c r="G43" s="28">
        <v>446</v>
      </c>
      <c r="H43" s="23"/>
      <c r="I43" s="28">
        <v>446</v>
      </c>
      <c r="J43" s="23"/>
      <c r="K43" s="157">
        <f>446-112</f>
        <v>334</v>
      </c>
      <c r="L43" s="160"/>
      <c r="M43" s="186">
        <v>225</v>
      </c>
      <c r="N43" s="212"/>
      <c r="O43" s="237">
        <f t="shared" si="0"/>
        <v>0.6736526946107785</v>
      </c>
      <c r="P43" s="16"/>
    </row>
    <row r="44" spans="1:16" ht="12.75">
      <c r="A44" s="21"/>
      <c r="B44" s="46"/>
      <c r="C44" s="46">
        <v>4</v>
      </c>
      <c r="D44" s="26" t="s">
        <v>51</v>
      </c>
      <c r="E44" s="47">
        <f>120+418</f>
        <v>538</v>
      </c>
      <c r="F44" s="40"/>
      <c r="G44" s="47">
        <f>120+418</f>
        <v>538</v>
      </c>
      <c r="H44" s="40"/>
      <c r="I44" s="47">
        <f>120+418</f>
        <v>538</v>
      </c>
      <c r="J44" s="40"/>
      <c r="K44" s="164">
        <v>3535</v>
      </c>
      <c r="L44" s="165"/>
      <c r="M44" s="215">
        <v>2357</v>
      </c>
      <c r="N44" s="216"/>
      <c r="O44" s="237">
        <f t="shared" si="0"/>
        <v>0.6667609618104667</v>
      </c>
      <c r="P44" s="16"/>
    </row>
    <row r="45" spans="1:16" ht="13.5" thickBot="1">
      <c r="A45" s="29"/>
      <c r="B45" s="48"/>
      <c r="C45" s="48"/>
      <c r="D45" s="31" t="s">
        <v>23</v>
      </c>
      <c r="E45" s="32"/>
      <c r="F45" s="41">
        <f>SUM(E41:E44)</f>
        <v>1418</v>
      </c>
      <c r="G45" s="32"/>
      <c r="H45" s="41">
        <f>SUM(G41:G44)</f>
        <v>1468</v>
      </c>
      <c r="I45" s="32"/>
      <c r="J45" s="41">
        <f>SUM(I41:I44)</f>
        <v>1468</v>
      </c>
      <c r="K45" s="161"/>
      <c r="L45" s="189">
        <f>SUM(K41:K44)</f>
        <v>4353</v>
      </c>
      <c r="M45" s="213"/>
      <c r="N45" s="158">
        <f>SUM(M41:M44)</f>
        <v>2901</v>
      </c>
      <c r="O45" s="236">
        <f>+N45/L45</f>
        <v>0.6664369400413508</v>
      </c>
      <c r="P45" s="16"/>
    </row>
    <row r="46" spans="1:16" ht="13.5" thickBot="1">
      <c r="A46" s="49" t="s">
        <v>52</v>
      </c>
      <c r="B46" s="50" t="s">
        <v>53</v>
      </c>
      <c r="C46" s="50"/>
      <c r="D46" s="51"/>
      <c r="E46" s="52">
        <v>1100</v>
      </c>
      <c r="F46" s="53">
        <f>SUM(E46)</f>
        <v>1100</v>
      </c>
      <c r="G46" s="52">
        <v>1500</v>
      </c>
      <c r="H46" s="53">
        <f>SUM(G46)</f>
        <v>1500</v>
      </c>
      <c r="I46" s="52">
        <v>1650</v>
      </c>
      <c r="J46" s="53">
        <f>SUM(I46)</f>
        <v>1650</v>
      </c>
      <c r="K46" s="167">
        <v>1650</v>
      </c>
      <c r="L46" s="190">
        <f>SUM(K46)</f>
        <v>1650</v>
      </c>
      <c r="M46" s="206">
        <v>1629</v>
      </c>
      <c r="N46" s="168">
        <f>SUM(M46)</f>
        <v>1629</v>
      </c>
      <c r="O46" s="236">
        <f>+N46/L46</f>
        <v>0.9872727272727273</v>
      </c>
      <c r="P46" s="16"/>
    </row>
    <row r="47" spans="1:16" ht="13.5" thickBot="1">
      <c r="A47" s="49" t="s">
        <v>54</v>
      </c>
      <c r="B47" s="50" t="s">
        <v>55</v>
      </c>
      <c r="C47" s="50"/>
      <c r="D47" s="51"/>
      <c r="E47" s="52">
        <v>400</v>
      </c>
      <c r="F47" s="53">
        <f>SUM(E47)</f>
        <v>400</v>
      </c>
      <c r="G47" s="52">
        <v>400</v>
      </c>
      <c r="H47" s="53">
        <f>SUM(G47)</f>
        <v>400</v>
      </c>
      <c r="I47" s="52">
        <v>400</v>
      </c>
      <c r="J47" s="53">
        <f>SUM(I47)</f>
        <v>400</v>
      </c>
      <c r="K47" s="167">
        <v>750</v>
      </c>
      <c r="L47" s="190">
        <f>SUM(K47)</f>
        <v>750</v>
      </c>
      <c r="M47" s="206">
        <v>6</v>
      </c>
      <c r="N47" s="168">
        <f>SUM(M47)</f>
        <v>6</v>
      </c>
      <c r="O47" s="236">
        <f>+N47/L47</f>
        <v>0.008</v>
      </c>
      <c r="P47" s="16"/>
    </row>
    <row r="48" spans="1:16" ht="12.75">
      <c r="A48" s="35" t="s">
        <v>56</v>
      </c>
      <c r="B48" s="44" t="s">
        <v>57</v>
      </c>
      <c r="C48" s="44">
        <v>1</v>
      </c>
      <c r="D48" s="24" t="s">
        <v>58</v>
      </c>
      <c r="E48" s="37">
        <v>650</v>
      </c>
      <c r="F48" s="38"/>
      <c r="G48" s="37">
        <v>700</v>
      </c>
      <c r="H48" s="38"/>
      <c r="I48" s="37">
        <f>713+92+50</f>
        <v>855</v>
      </c>
      <c r="J48" s="38"/>
      <c r="K48" s="162">
        <v>850</v>
      </c>
      <c r="L48" s="163"/>
      <c r="M48" s="205">
        <v>604</v>
      </c>
      <c r="N48" s="214"/>
      <c r="O48" s="237">
        <f t="shared" si="0"/>
        <v>0.7105882352941176</v>
      </c>
      <c r="P48" s="16"/>
    </row>
    <row r="49" spans="1:16" ht="12.75">
      <c r="A49" s="35"/>
      <c r="B49" s="44"/>
      <c r="C49" s="44">
        <f>+C48+1</f>
        <v>2</v>
      </c>
      <c r="D49" s="24" t="s">
        <v>59</v>
      </c>
      <c r="E49" s="37">
        <v>1050</v>
      </c>
      <c r="F49" s="38"/>
      <c r="G49" s="37">
        <v>1050</v>
      </c>
      <c r="H49" s="38"/>
      <c r="I49" s="37">
        <v>1050</v>
      </c>
      <c r="J49" s="38"/>
      <c r="K49" s="162">
        <v>950</v>
      </c>
      <c r="L49" s="163"/>
      <c r="M49" s="205">
        <f>120+560</f>
        <v>680</v>
      </c>
      <c r="N49" s="214"/>
      <c r="O49" s="237">
        <f t="shared" si="0"/>
        <v>0.7157894736842105</v>
      </c>
      <c r="P49" s="16"/>
    </row>
    <row r="50" spans="1:16" ht="12.75">
      <c r="A50" s="35"/>
      <c r="B50" s="44"/>
      <c r="C50" s="44">
        <f>+C49+1</f>
        <v>3</v>
      </c>
      <c r="D50" s="24" t="s">
        <v>60</v>
      </c>
      <c r="E50" s="37">
        <v>550</v>
      </c>
      <c r="F50" s="38"/>
      <c r="G50" s="37">
        <v>550</v>
      </c>
      <c r="H50" s="38"/>
      <c r="I50" s="37">
        <v>550</v>
      </c>
      <c r="J50" s="38"/>
      <c r="K50" s="162">
        <v>390</v>
      </c>
      <c r="L50" s="163"/>
      <c r="M50" s="205">
        <f>75+68+230</f>
        <v>373</v>
      </c>
      <c r="N50" s="214"/>
      <c r="O50" s="237">
        <f t="shared" si="0"/>
        <v>0.9564102564102565</v>
      </c>
      <c r="P50" s="16"/>
    </row>
    <row r="51" spans="1:16" ht="12.75">
      <c r="A51" s="35"/>
      <c r="B51" s="44"/>
      <c r="C51" s="44">
        <f>+C50+1</f>
        <v>4</v>
      </c>
      <c r="D51" s="24" t="s">
        <v>162</v>
      </c>
      <c r="E51" s="37"/>
      <c r="F51" s="38"/>
      <c r="G51" s="37"/>
      <c r="H51" s="38"/>
      <c r="I51" s="37"/>
      <c r="J51" s="38"/>
      <c r="K51" s="162">
        <v>240</v>
      </c>
      <c r="L51" s="163"/>
      <c r="M51" s="205">
        <v>249</v>
      </c>
      <c r="N51" s="214"/>
      <c r="O51" s="237">
        <f t="shared" si="0"/>
        <v>1.0375</v>
      </c>
      <c r="P51" s="16"/>
    </row>
    <row r="52" spans="1:16" ht="12.75">
      <c r="A52" s="35"/>
      <c r="B52" s="44"/>
      <c r="C52" s="44">
        <f>+C51+1</f>
        <v>5</v>
      </c>
      <c r="D52" s="19" t="s">
        <v>61</v>
      </c>
      <c r="E52" s="28">
        <v>762</v>
      </c>
      <c r="F52" s="38"/>
      <c r="G52" s="28">
        <v>762</v>
      </c>
      <c r="H52" s="38"/>
      <c r="I52" s="28">
        <v>762</v>
      </c>
      <c r="J52" s="38"/>
      <c r="K52" s="157">
        <v>900</v>
      </c>
      <c r="L52" s="163"/>
      <c r="M52" s="186">
        <f>27+161-155+55+37+13+73+73+411-230+9+0.9</f>
        <v>474.9</v>
      </c>
      <c r="N52" s="214"/>
      <c r="O52" s="237">
        <f t="shared" si="0"/>
        <v>0.5276666666666666</v>
      </c>
      <c r="P52" s="16"/>
    </row>
    <row r="53" spans="1:16" ht="13.5" thickBot="1">
      <c r="A53" s="29"/>
      <c r="B53" s="48"/>
      <c r="C53" s="48"/>
      <c r="D53" s="31" t="s">
        <v>23</v>
      </c>
      <c r="E53" s="32"/>
      <c r="F53" s="41">
        <f>SUM(E48:E52)</f>
        <v>3012</v>
      </c>
      <c r="G53" s="32"/>
      <c r="H53" s="41">
        <f>SUM(G48:G52)</f>
        <v>3062</v>
      </c>
      <c r="I53" s="32"/>
      <c r="J53" s="41">
        <f>SUM(I48:I52)</f>
        <v>3217</v>
      </c>
      <c r="K53" s="161"/>
      <c r="L53" s="189">
        <f>SUM(K48:K52)</f>
        <v>3330</v>
      </c>
      <c r="M53" s="213"/>
      <c r="N53" s="158">
        <f>SUM(M48:M52)</f>
        <v>2380.9</v>
      </c>
      <c r="O53" s="236">
        <f>+N53/L53</f>
        <v>0.714984984984985</v>
      </c>
      <c r="P53" s="16"/>
    </row>
    <row r="54" spans="1:16" ht="13.5" thickBot="1">
      <c r="A54" s="54" t="s">
        <v>62</v>
      </c>
      <c r="B54" s="50" t="s">
        <v>63</v>
      </c>
      <c r="C54" s="50"/>
      <c r="D54" s="51"/>
      <c r="E54" s="55">
        <v>610</v>
      </c>
      <c r="F54" s="53">
        <f>SUM(E54)</f>
        <v>610</v>
      </c>
      <c r="G54" s="55">
        <v>610</v>
      </c>
      <c r="H54" s="53">
        <f>SUM(G54)</f>
        <v>610</v>
      </c>
      <c r="I54" s="55">
        <v>610</v>
      </c>
      <c r="J54" s="53">
        <f>SUM(I54)</f>
        <v>610</v>
      </c>
      <c r="K54" s="167">
        <v>630</v>
      </c>
      <c r="L54" s="190">
        <f>SUM(K54)</f>
        <v>630</v>
      </c>
      <c r="M54" s="206">
        <v>42619.4</v>
      </c>
      <c r="N54" s="168">
        <f>SUM(M54)</f>
        <v>42619.4</v>
      </c>
      <c r="O54" s="236"/>
      <c r="P54" s="16"/>
    </row>
    <row r="55" spans="1:16" ht="12.75">
      <c r="A55" s="56"/>
      <c r="B55" s="43" t="s">
        <v>64</v>
      </c>
      <c r="C55" s="43"/>
      <c r="D55" s="13"/>
      <c r="E55" s="42"/>
      <c r="F55" s="57">
        <f>SUM(F3:F54)</f>
        <v>62678.3</v>
      </c>
      <c r="G55" s="42"/>
      <c r="H55" s="57">
        <f>SUM(H3:H54)</f>
        <v>63271.3</v>
      </c>
      <c r="I55" s="42"/>
      <c r="J55" s="57">
        <f>SUM(J3:J54)</f>
        <v>64560.3</v>
      </c>
      <c r="K55" s="166"/>
      <c r="L55" s="191">
        <f>SUM(L3:L54)</f>
        <v>103384</v>
      </c>
      <c r="M55" s="217"/>
      <c r="N55" s="150">
        <f>SUM(N3:N54)</f>
        <v>116240.69999999998</v>
      </c>
      <c r="O55" s="236">
        <f>+N55/L55</f>
        <v>1.12435870153989</v>
      </c>
      <c r="P55" s="58"/>
    </row>
    <row r="56" spans="1:17" ht="13.5" thickBot="1">
      <c r="A56" s="59"/>
      <c r="B56" s="48" t="s">
        <v>65</v>
      </c>
      <c r="C56" s="48"/>
      <c r="D56" s="31"/>
      <c r="E56" s="32"/>
      <c r="F56" s="60">
        <f>+F55-610</f>
        <v>62068.3</v>
      </c>
      <c r="G56" s="32"/>
      <c r="H56" s="60">
        <f>+H55-610</f>
        <v>62661.3</v>
      </c>
      <c r="I56" s="32"/>
      <c r="J56" s="60">
        <f>+J55-610</f>
        <v>63950.3</v>
      </c>
      <c r="K56" s="161"/>
      <c r="L56" s="192">
        <f>+L55-630</f>
        <v>102754</v>
      </c>
      <c r="M56" s="213"/>
      <c r="N56" s="151">
        <f>+N55-42619.4</f>
        <v>73621.29999999999</v>
      </c>
      <c r="O56" s="236">
        <f>+N56/L56</f>
        <v>0.7164811102244194</v>
      </c>
      <c r="P56" s="27">
        <f>+N56-N40-P14</f>
        <v>60906.69999999999</v>
      </c>
      <c r="Q56" t="s">
        <v>66</v>
      </c>
    </row>
    <row r="57" spans="1:16" ht="18.75" thickBot="1">
      <c r="A57" s="1" t="s">
        <v>67</v>
      </c>
      <c r="B57" s="61"/>
      <c r="C57" s="61"/>
      <c r="D57" s="61"/>
      <c r="E57" s="437" t="s">
        <v>1</v>
      </c>
      <c r="F57" s="438"/>
      <c r="G57" s="437" t="s">
        <v>2</v>
      </c>
      <c r="H57" s="438"/>
      <c r="I57" s="437" t="s">
        <v>3</v>
      </c>
      <c r="J57" s="438"/>
      <c r="K57" s="437" t="s">
        <v>166</v>
      </c>
      <c r="L57" s="438"/>
      <c r="M57" s="435" t="s">
        <v>165</v>
      </c>
      <c r="N57" s="436"/>
      <c r="O57" s="237"/>
      <c r="P57" s="3"/>
    </row>
    <row r="58" spans="1:16" ht="13.5" thickBot="1">
      <c r="A58" s="62" t="s">
        <v>4</v>
      </c>
      <c r="B58" s="63" t="s">
        <v>5</v>
      </c>
      <c r="C58" s="63" t="s">
        <v>6</v>
      </c>
      <c r="D58" s="64" t="s">
        <v>7</v>
      </c>
      <c r="E58" s="65"/>
      <c r="F58" s="66" t="s">
        <v>8</v>
      </c>
      <c r="G58" s="65"/>
      <c r="H58" s="66" t="s">
        <v>8</v>
      </c>
      <c r="I58" s="65"/>
      <c r="J58" s="66" t="s">
        <v>8</v>
      </c>
      <c r="K58" s="65"/>
      <c r="L58" s="66" t="s">
        <v>8</v>
      </c>
      <c r="M58" s="218"/>
      <c r="N58" s="219" t="s">
        <v>8</v>
      </c>
      <c r="O58" s="237"/>
      <c r="P58" s="67"/>
    </row>
    <row r="59" spans="1:16" ht="12.75">
      <c r="A59" s="11" t="s">
        <v>9</v>
      </c>
      <c r="B59" s="43" t="s">
        <v>68</v>
      </c>
      <c r="C59" s="43">
        <v>1</v>
      </c>
      <c r="D59" s="13" t="s">
        <v>145</v>
      </c>
      <c r="E59" s="68">
        <v>2627</v>
      </c>
      <c r="F59" s="69"/>
      <c r="G59" s="68">
        <v>2627</v>
      </c>
      <c r="H59" s="69"/>
      <c r="I59" s="68">
        <v>2627</v>
      </c>
      <c r="J59" s="69"/>
      <c r="K59" s="169">
        <v>2780</v>
      </c>
      <c r="L59" s="170"/>
      <c r="M59" s="208">
        <f>1987+60</f>
        <v>2047</v>
      </c>
      <c r="N59" s="220"/>
      <c r="O59" s="237">
        <f t="shared" si="0"/>
        <v>0.7363309352517986</v>
      </c>
      <c r="P59" s="70"/>
    </row>
    <row r="60" spans="1:16" ht="12.75">
      <c r="A60" s="35"/>
      <c r="B60" s="44"/>
      <c r="C60" s="44">
        <f>+C59+1</f>
        <v>2</v>
      </c>
      <c r="D60" s="24" t="s">
        <v>139</v>
      </c>
      <c r="E60" s="72">
        <v>250</v>
      </c>
      <c r="F60" s="73"/>
      <c r="G60" s="72">
        <v>250</v>
      </c>
      <c r="H60" s="73"/>
      <c r="I60" s="72">
        <v>250</v>
      </c>
      <c r="J60" s="73"/>
      <c r="K60" s="171">
        <f>100+1000</f>
        <v>1100</v>
      </c>
      <c r="L60" s="172"/>
      <c r="M60" s="221">
        <f>373+100</f>
        <v>473</v>
      </c>
      <c r="N60" s="222"/>
      <c r="O60" s="237">
        <f t="shared" si="0"/>
        <v>0.43</v>
      </c>
      <c r="P60" s="70"/>
    </row>
    <row r="61" spans="1:16" ht="12.75">
      <c r="A61" s="17"/>
      <c r="B61" s="45"/>
      <c r="C61" s="44">
        <f aca="true" t="shared" si="3" ref="C61:C66">+C60+1</f>
        <v>3</v>
      </c>
      <c r="D61" s="19" t="s">
        <v>69</v>
      </c>
      <c r="E61" s="72">
        <v>542</v>
      </c>
      <c r="F61" s="73"/>
      <c r="G61" s="72">
        <v>542</v>
      </c>
      <c r="H61" s="73"/>
      <c r="I61" s="72">
        <v>542</v>
      </c>
      <c r="J61" s="73"/>
      <c r="K61" s="171">
        <v>542</v>
      </c>
      <c r="L61" s="172"/>
      <c r="M61" s="221">
        <v>406</v>
      </c>
      <c r="N61" s="222"/>
      <c r="O61" s="237">
        <f t="shared" si="0"/>
        <v>0.7490774907749077</v>
      </c>
      <c r="P61" s="70"/>
    </row>
    <row r="62" spans="1:16" ht="12.75">
      <c r="A62" s="17"/>
      <c r="B62" s="45"/>
      <c r="C62" s="44">
        <f t="shared" si="3"/>
        <v>4</v>
      </c>
      <c r="D62" s="19" t="s">
        <v>70</v>
      </c>
      <c r="E62" s="72">
        <v>0</v>
      </c>
      <c r="F62" s="74"/>
      <c r="G62" s="72">
        <v>0</v>
      </c>
      <c r="H62" s="74"/>
      <c r="I62" s="72">
        <v>925</v>
      </c>
      <c r="J62" s="74"/>
      <c r="K62" s="171">
        <f>300+528</f>
        <v>828</v>
      </c>
      <c r="L62" s="172"/>
      <c r="M62" s="221">
        <f>300+528</f>
        <v>828</v>
      </c>
      <c r="N62" s="222"/>
      <c r="O62" s="237">
        <f t="shared" si="0"/>
        <v>1</v>
      </c>
      <c r="P62" s="75"/>
    </row>
    <row r="63" spans="1:16" ht="12.75">
      <c r="A63" s="17"/>
      <c r="B63" s="45"/>
      <c r="C63" s="44">
        <f t="shared" si="3"/>
        <v>5</v>
      </c>
      <c r="D63" s="19" t="s">
        <v>71</v>
      </c>
      <c r="E63" s="72">
        <v>306</v>
      </c>
      <c r="F63" s="73"/>
      <c r="G63" s="72">
        <v>306</v>
      </c>
      <c r="H63" s="73"/>
      <c r="I63" s="72">
        <v>306</v>
      </c>
      <c r="J63" s="73"/>
      <c r="K63" s="171">
        <f>306+35+78</f>
        <v>419</v>
      </c>
      <c r="L63" s="172"/>
      <c r="M63" s="221">
        <v>343</v>
      </c>
      <c r="N63" s="222"/>
      <c r="O63" s="237">
        <f t="shared" si="0"/>
        <v>0.8186157517899761</v>
      </c>
      <c r="P63" s="70"/>
    </row>
    <row r="64" spans="1:16" ht="12.75">
      <c r="A64" s="17"/>
      <c r="B64" s="45"/>
      <c r="C64" s="44">
        <f t="shared" si="3"/>
        <v>6</v>
      </c>
      <c r="D64" s="19" t="s">
        <v>72</v>
      </c>
      <c r="E64" s="72">
        <v>377</v>
      </c>
      <c r="F64" s="73"/>
      <c r="G64" s="72">
        <v>377</v>
      </c>
      <c r="H64" s="73"/>
      <c r="I64" s="72">
        <f>377+9</f>
        <v>386</v>
      </c>
      <c r="J64" s="73"/>
      <c r="K64" s="171">
        <v>380</v>
      </c>
      <c r="L64" s="172"/>
      <c r="M64" s="221">
        <v>285</v>
      </c>
      <c r="N64" s="222"/>
      <c r="O64" s="237">
        <f t="shared" si="0"/>
        <v>0.75</v>
      </c>
      <c r="P64" s="70"/>
    </row>
    <row r="65" spans="1:16" ht="12.75">
      <c r="A65" s="17"/>
      <c r="B65" s="45"/>
      <c r="C65" s="44">
        <f t="shared" si="3"/>
        <v>7</v>
      </c>
      <c r="D65" s="19" t="s">
        <v>73</v>
      </c>
      <c r="E65" s="72">
        <v>789</v>
      </c>
      <c r="F65" s="73"/>
      <c r="G65" s="72">
        <v>789</v>
      </c>
      <c r="H65" s="73"/>
      <c r="I65" s="72">
        <v>789</v>
      </c>
      <c r="J65" s="73"/>
      <c r="K65" s="171">
        <f>832+215</f>
        <v>1047</v>
      </c>
      <c r="L65" s="172"/>
      <c r="M65" s="221">
        <v>839</v>
      </c>
      <c r="N65" s="222"/>
      <c r="O65" s="237">
        <f t="shared" si="0"/>
        <v>0.8013371537726839</v>
      </c>
      <c r="P65" s="70"/>
    </row>
    <row r="66" spans="1:16" ht="12.75">
      <c r="A66" s="21"/>
      <c r="B66" s="46"/>
      <c r="C66" s="44">
        <f t="shared" si="3"/>
        <v>8</v>
      </c>
      <c r="D66" s="26" t="s">
        <v>74</v>
      </c>
      <c r="E66" s="72">
        <v>181</v>
      </c>
      <c r="F66" s="73"/>
      <c r="G66" s="72">
        <v>181</v>
      </c>
      <c r="H66" s="73"/>
      <c r="I66" s="72">
        <v>181</v>
      </c>
      <c r="J66" s="73"/>
      <c r="K66" s="171">
        <v>181</v>
      </c>
      <c r="L66" s="172"/>
      <c r="M66" s="221">
        <v>136</v>
      </c>
      <c r="N66" s="222"/>
      <c r="O66" s="237">
        <f t="shared" si="0"/>
        <v>0.7513812154696132</v>
      </c>
      <c r="P66" s="70"/>
    </row>
    <row r="67" spans="1:16" ht="13.5" thickBot="1">
      <c r="A67" s="21"/>
      <c r="B67" s="46"/>
      <c r="C67" s="46"/>
      <c r="D67" s="26" t="s">
        <v>23</v>
      </c>
      <c r="E67" s="76"/>
      <c r="F67" s="77">
        <f>SUM(E59:E66)</f>
        <v>5072</v>
      </c>
      <c r="G67" s="76"/>
      <c r="H67" s="77">
        <f>SUM(G59:G66)</f>
        <v>5072</v>
      </c>
      <c r="I67" s="76"/>
      <c r="J67" s="77">
        <f>SUM(I59:I66)</f>
        <v>6006</v>
      </c>
      <c r="K67" s="173"/>
      <c r="L67" s="193">
        <f>SUM(K59:K66)</f>
        <v>7277</v>
      </c>
      <c r="M67" s="223"/>
      <c r="N67" s="174">
        <f>SUM(M59:M66)</f>
        <v>5357</v>
      </c>
      <c r="O67" s="236">
        <f>+N67/L67</f>
        <v>0.7361550089322523</v>
      </c>
      <c r="P67" s="78"/>
    </row>
    <row r="68" spans="1:16" ht="12.75">
      <c r="A68" s="11" t="s">
        <v>18</v>
      </c>
      <c r="B68" s="43" t="s">
        <v>75</v>
      </c>
      <c r="C68" s="43">
        <v>1</v>
      </c>
      <c r="D68" s="13" t="s">
        <v>76</v>
      </c>
      <c r="E68" s="68">
        <f>25398-22-1407+350</f>
        <v>24319</v>
      </c>
      <c r="F68" s="79"/>
      <c r="G68" s="68">
        <f>25398-22-1407+350</f>
        <v>24319</v>
      </c>
      <c r="H68" s="79"/>
      <c r="I68" s="68">
        <f>25398-22-1407+350</f>
        <v>24319</v>
      </c>
      <c r="J68" s="79"/>
      <c r="K68" s="169">
        <f>1810+630+21916+1640+576-100+159.5+15.5-60</f>
        <v>26587</v>
      </c>
      <c r="L68" s="170"/>
      <c r="M68" s="208">
        <f>1234+116+5+180+19670-83-268-81+468-468-1602-472</f>
        <v>18699</v>
      </c>
      <c r="N68" s="220"/>
      <c r="O68" s="237">
        <f aca="true" t="shared" si="4" ref="O68:O124">+M68/K68</f>
        <v>0.7033136495279648</v>
      </c>
      <c r="P68" s="80"/>
    </row>
    <row r="69" spans="1:16" ht="12.75">
      <c r="A69" s="17"/>
      <c r="B69" s="45"/>
      <c r="C69" s="45">
        <v>2</v>
      </c>
      <c r="D69" s="19" t="s">
        <v>77</v>
      </c>
      <c r="E69" s="72">
        <v>820</v>
      </c>
      <c r="F69" s="81"/>
      <c r="G69" s="72">
        <v>820</v>
      </c>
      <c r="H69" s="81"/>
      <c r="I69" s="72">
        <v>845</v>
      </c>
      <c r="J69" s="81"/>
      <c r="K69" s="171">
        <v>930</v>
      </c>
      <c r="L69" s="172"/>
      <c r="M69" s="221">
        <v>713</v>
      </c>
      <c r="N69" s="222"/>
      <c r="O69" s="237">
        <f t="shared" si="4"/>
        <v>0.7666666666666667</v>
      </c>
      <c r="P69" s="80"/>
    </row>
    <row r="70" spans="1:16" ht="13.5" thickBot="1">
      <c r="A70" s="29"/>
      <c r="B70" s="48"/>
      <c r="C70" s="48"/>
      <c r="D70" s="31" t="s">
        <v>8</v>
      </c>
      <c r="E70" s="82"/>
      <c r="F70" s="83">
        <f>SUM(E68:E69)</f>
        <v>25139</v>
      </c>
      <c r="G70" s="82"/>
      <c r="H70" s="83">
        <f>SUM(G68:G69)</f>
        <v>25139</v>
      </c>
      <c r="I70" s="82"/>
      <c r="J70" s="83">
        <f>SUM(I68:I69)</f>
        <v>25164</v>
      </c>
      <c r="K70" s="173"/>
      <c r="L70" s="194">
        <f>SUM(K68:K69)</f>
        <v>27517</v>
      </c>
      <c r="M70" s="223"/>
      <c r="N70" s="175">
        <f>SUM(M68:M69)</f>
        <v>19412</v>
      </c>
      <c r="O70" s="236">
        <f>+N70/L70</f>
        <v>0.7054548097539702</v>
      </c>
      <c r="P70" s="80"/>
    </row>
    <row r="71" spans="1:16" ht="12.75">
      <c r="A71" s="35" t="s">
        <v>24</v>
      </c>
      <c r="B71" s="44" t="s">
        <v>78</v>
      </c>
      <c r="C71" s="44">
        <v>1</v>
      </c>
      <c r="D71" s="24" t="s">
        <v>79</v>
      </c>
      <c r="E71" s="68">
        <v>1000</v>
      </c>
      <c r="F71" s="69"/>
      <c r="G71" s="68">
        <v>1000</v>
      </c>
      <c r="H71" s="69"/>
      <c r="I71" s="68">
        <v>1000</v>
      </c>
      <c r="J71" s="69"/>
      <c r="K71" s="169">
        <f>120+980+111+41+60</f>
        <v>1312</v>
      </c>
      <c r="L71" s="170"/>
      <c r="M71" s="208">
        <f>90+887</f>
        <v>977</v>
      </c>
      <c r="N71" s="220"/>
      <c r="O71" s="237">
        <f t="shared" si="4"/>
        <v>0.7446646341463414</v>
      </c>
      <c r="P71" s="70"/>
    </row>
    <row r="72" spans="1:16" ht="12.75">
      <c r="A72" s="17"/>
      <c r="B72" s="45"/>
      <c r="C72" s="45">
        <f>+C71+1</f>
        <v>2</v>
      </c>
      <c r="D72" s="19" t="s">
        <v>80</v>
      </c>
      <c r="E72" s="72">
        <f>750*0.95+0.5</f>
        <v>713</v>
      </c>
      <c r="F72" s="73"/>
      <c r="G72" s="72">
        <f>323+750*0.95+0.5</f>
        <v>1036</v>
      </c>
      <c r="H72" s="73"/>
      <c r="I72" s="72">
        <f>323+750*0.95+0.5</f>
        <v>1036</v>
      </c>
      <c r="J72" s="73"/>
      <c r="K72" s="171">
        <f>750.3+301.7</f>
        <v>1052</v>
      </c>
      <c r="L72" s="172"/>
      <c r="M72" s="221">
        <f>301.7+563</f>
        <v>864.7</v>
      </c>
      <c r="N72" s="222"/>
      <c r="O72" s="237">
        <f t="shared" si="4"/>
        <v>0.821958174904943</v>
      </c>
      <c r="P72" s="70"/>
    </row>
    <row r="73" spans="1:16" ht="12.75">
      <c r="A73" s="17"/>
      <c r="B73" s="45"/>
      <c r="C73" s="45">
        <f>+C72+1</f>
        <v>3</v>
      </c>
      <c r="D73" s="19" t="s">
        <v>81</v>
      </c>
      <c r="E73" s="72"/>
      <c r="F73" s="73"/>
      <c r="G73" s="72"/>
      <c r="H73" s="73"/>
      <c r="I73" s="72"/>
      <c r="J73" s="73"/>
      <c r="K73" s="171">
        <v>200</v>
      </c>
      <c r="L73" s="172"/>
      <c r="M73" s="221">
        <v>200</v>
      </c>
      <c r="N73" s="222"/>
      <c r="O73" s="237">
        <f t="shared" si="4"/>
        <v>1</v>
      </c>
      <c r="P73" s="70"/>
    </row>
    <row r="74" spans="1:16" ht="12.75">
      <c r="A74" s="17"/>
      <c r="B74" s="45"/>
      <c r="C74" s="45">
        <f>+C73+1</f>
        <v>4</v>
      </c>
      <c r="D74" s="19" t="s">
        <v>144</v>
      </c>
      <c r="E74" s="72">
        <v>360</v>
      </c>
      <c r="F74" s="73"/>
      <c r="G74" s="72">
        <v>360</v>
      </c>
      <c r="H74" s="73"/>
      <c r="I74" s="72">
        <v>360</v>
      </c>
      <c r="J74" s="73"/>
      <c r="K74" s="171">
        <v>400</v>
      </c>
      <c r="L74" s="172"/>
      <c r="M74" s="221">
        <f>320+50</f>
        <v>370</v>
      </c>
      <c r="N74" s="222"/>
      <c r="O74" s="237">
        <f t="shared" si="4"/>
        <v>0.925</v>
      </c>
      <c r="P74" s="70"/>
    </row>
    <row r="75" spans="1:16" ht="12.75">
      <c r="A75" s="17"/>
      <c r="B75" s="45"/>
      <c r="C75" s="45">
        <f>+C74+1</f>
        <v>5</v>
      </c>
      <c r="D75" s="19" t="s">
        <v>131</v>
      </c>
      <c r="E75" s="72"/>
      <c r="F75" s="73"/>
      <c r="G75" s="72"/>
      <c r="H75" s="73"/>
      <c r="I75" s="72"/>
      <c r="J75" s="73"/>
      <c r="K75" s="171">
        <v>309</v>
      </c>
      <c r="L75" s="172"/>
      <c r="M75" s="221">
        <f>2+7+282</f>
        <v>291</v>
      </c>
      <c r="N75" s="222"/>
      <c r="O75" s="237">
        <f t="shared" si="4"/>
        <v>0.941747572815534</v>
      </c>
      <c r="P75" s="70"/>
    </row>
    <row r="76" spans="1:16" ht="12.75">
      <c r="A76" s="17"/>
      <c r="B76" s="45"/>
      <c r="C76" s="45">
        <f>+C75+1</f>
        <v>6</v>
      </c>
      <c r="D76" s="19" t="s">
        <v>82</v>
      </c>
      <c r="E76" s="84">
        <v>320</v>
      </c>
      <c r="F76" s="73"/>
      <c r="G76" s="84">
        <v>320</v>
      </c>
      <c r="H76" s="73"/>
      <c r="I76" s="84">
        <v>320</v>
      </c>
      <c r="J76" s="73"/>
      <c r="K76" s="171">
        <v>500</v>
      </c>
      <c r="L76" s="172"/>
      <c r="M76" s="221">
        <f>317+50+5+415-282+1</f>
        <v>506</v>
      </c>
      <c r="N76" s="222"/>
      <c r="O76" s="237">
        <f t="shared" si="4"/>
        <v>1.012</v>
      </c>
      <c r="P76" s="70"/>
    </row>
    <row r="77" spans="1:16" ht="13.5" thickBot="1">
      <c r="A77" s="21"/>
      <c r="B77" s="46"/>
      <c r="C77" s="46"/>
      <c r="D77" s="26" t="s">
        <v>23</v>
      </c>
      <c r="E77" s="85"/>
      <c r="F77" s="86">
        <f>SUM(E71:E76)</f>
        <v>2393</v>
      </c>
      <c r="G77" s="85"/>
      <c r="H77" s="86">
        <f>SUM(G71:G76)</f>
        <v>2716</v>
      </c>
      <c r="I77" s="85"/>
      <c r="J77" s="86">
        <f>SUM(I71:I76)</f>
        <v>2716</v>
      </c>
      <c r="K77" s="176"/>
      <c r="L77" s="178">
        <f>SUM(K71:K76)</f>
        <v>3773</v>
      </c>
      <c r="M77" s="187"/>
      <c r="N77" s="177">
        <f>SUM(M71:M76)</f>
        <v>3208.7</v>
      </c>
      <c r="O77" s="236">
        <f>+N77/L77</f>
        <v>0.8504373177842565</v>
      </c>
      <c r="P77" s="80"/>
    </row>
    <row r="78" spans="1:16" ht="12.75">
      <c r="A78" s="11" t="s">
        <v>40</v>
      </c>
      <c r="B78" s="87" t="s">
        <v>83</v>
      </c>
      <c r="C78" s="43">
        <v>1</v>
      </c>
      <c r="D78" s="13" t="s">
        <v>159</v>
      </c>
      <c r="E78" s="88">
        <v>29500</v>
      </c>
      <c r="F78" s="69"/>
      <c r="G78" s="88">
        <f>29540-2911</f>
        <v>26629</v>
      </c>
      <c r="H78" s="69"/>
      <c r="I78" s="88">
        <f>26100+555</f>
        <v>26655</v>
      </c>
      <c r="J78" s="69"/>
      <c r="K78" s="169">
        <f>6067+800</f>
        <v>6867</v>
      </c>
      <c r="L78" s="170"/>
      <c r="M78" s="208">
        <v>6523</v>
      </c>
      <c r="N78" s="220"/>
      <c r="O78" s="237">
        <f t="shared" si="4"/>
        <v>0.9499053444007572</v>
      </c>
      <c r="P78" s="70"/>
    </row>
    <row r="79" spans="1:16" ht="12.75">
      <c r="A79" s="21"/>
      <c r="B79" s="46"/>
      <c r="C79" s="44">
        <f>C78+1</f>
        <v>2</v>
      </c>
      <c r="D79" s="19" t="s">
        <v>84</v>
      </c>
      <c r="E79" s="85"/>
      <c r="F79" s="89"/>
      <c r="G79" s="85">
        <v>100</v>
      </c>
      <c r="H79" s="89"/>
      <c r="I79" s="85">
        <v>0</v>
      </c>
      <c r="J79" s="89"/>
      <c r="K79" s="176">
        <v>0</v>
      </c>
      <c r="L79" s="178"/>
      <c r="M79" s="187">
        <v>0</v>
      </c>
      <c r="N79" s="177"/>
      <c r="O79" s="237"/>
      <c r="P79" s="70"/>
    </row>
    <row r="80" spans="1:16" ht="12.75">
      <c r="A80" s="21"/>
      <c r="B80" s="46"/>
      <c r="C80" s="44">
        <f aca="true" t="shared" si="5" ref="C80:C96">+C79+1</f>
        <v>3</v>
      </c>
      <c r="D80" s="19" t="s">
        <v>123</v>
      </c>
      <c r="E80" s="85"/>
      <c r="F80" s="89"/>
      <c r="G80" s="85"/>
      <c r="H80" s="89"/>
      <c r="I80" s="85">
        <v>330</v>
      </c>
      <c r="J80" s="89"/>
      <c r="K80" s="176">
        <v>1100</v>
      </c>
      <c r="L80" s="178"/>
      <c r="M80" s="187">
        <v>1096</v>
      </c>
      <c r="N80" s="177"/>
      <c r="O80" s="237">
        <f t="shared" si="4"/>
        <v>0.9963636363636363</v>
      </c>
      <c r="P80" s="70"/>
    </row>
    <row r="81" spans="1:16" ht="12.75">
      <c r="A81" s="21"/>
      <c r="B81" s="46"/>
      <c r="C81" s="44">
        <f t="shared" si="5"/>
        <v>4</v>
      </c>
      <c r="D81" s="19" t="s">
        <v>135</v>
      </c>
      <c r="E81" s="85"/>
      <c r="F81" s="89"/>
      <c r="G81" s="85"/>
      <c r="H81" s="89"/>
      <c r="I81" s="85"/>
      <c r="J81" s="89"/>
      <c r="K81" s="176">
        <v>13854</v>
      </c>
      <c r="L81" s="178"/>
      <c r="M81" s="187">
        <f>155+13698</f>
        <v>13853</v>
      </c>
      <c r="N81" s="177"/>
      <c r="O81" s="237">
        <f t="shared" si="4"/>
        <v>0.9999278186805255</v>
      </c>
      <c r="P81" s="70"/>
    </row>
    <row r="82" spans="1:16" ht="12.75">
      <c r="A82" s="21"/>
      <c r="B82" s="46"/>
      <c r="C82" s="44">
        <f t="shared" si="5"/>
        <v>5</v>
      </c>
      <c r="D82" s="19" t="s">
        <v>143</v>
      </c>
      <c r="E82" s="85"/>
      <c r="F82" s="89"/>
      <c r="G82" s="85"/>
      <c r="H82" s="89"/>
      <c r="I82" s="85"/>
      <c r="J82" s="89"/>
      <c r="K82" s="176">
        <v>410</v>
      </c>
      <c r="L82" s="178"/>
      <c r="M82" s="187">
        <v>397</v>
      </c>
      <c r="N82" s="177"/>
      <c r="O82" s="237">
        <f t="shared" si="4"/>
        <v>0.9682926829268292</v>
      </c>
      <c r="P82" s="70"/>
    </row>
    <row r="83" spans="1:16" ht="12.75">
      <c r="A83" s="21"/>
      <c r="B83" s="46"/>
      <c r="C83" s="44">
        <f t="shared" si="5"/>
        <v>6</v>
      </c>
      <c r="D83" s="19" t="s">
        <v>142</v>
      </c>
      <c r="E83" s="85"/>
      <c r="F83" s="89"/>
      <c r="G83" s="85"/>
      <c r="H83" s="89"/>
      <c r="I83" s="85"/>
      <c r="J83" s="89"/>
      <c r="K83" s="176">
        <v>3100</v>
      </c>
      <c r="L83" s="178"/>
      <c r="M83" s="187">
        <v>342</v>
      </c>
      <c r="N83" s="177"/>
      <c r="O83" s="237">
        <f t="shared" si="4"/>
        <v>0.11032258064516129</v>
      </c>
      <c r="P83" s="70"/>
    </row>
    <row r="84" spans="1:16" ht="12.75">
      <c r="A84" s="21"/>
      <c r="B84" s="46"/>
      <c r="C84" s="44">
        <f t="shared" si="5"/>
        <v>7</v>
      </c>
      <c r="D84" s="19" t="s">
        <v>150</v>
      </c>
      <c r="E84" s="85"/>
      <c r="F84" s="89"/>
      <c r="G84" s="85"/>
      <c r="H84" s="89"/>
      <c r="I84" s="85"/>
      <c r="J84" s="89"/>
      <c r="K84" s="176">
        <v>2450</v>
      </c>
      <c r="L84" s="178"/>
      <c r="M84" s="187">
        <f>1586+134</f>
        <v>1720</v>
      </c>
      <c r="N84" s="177"/>
      <c r="O84" s="237">
        <f t="shared" si="4"/>
        <v>0.7020408163265306</v>
      </c>
      <c r="P84" s="70"/>
    </row>
    <row r="85" spans="1:16" ht="12.75">
      <c r="A85" s="21"/>
      <c r="B85" s="46"/>
      <c r="C85" s="44">
        <f t="shared" si="5"/>
        <v>8</v>
      </c>
      <c r="D85" s="19" t="s">
        <v>146</v>
      </c>
      <c r="E85" s="85"/>
      <c r="F85" s="89"/>
      <c r="G85" s="85"/>
      <c r="H85" s="89"/>
      <c r="I85" s="85"/>
      <c r="J85" s="89"/>
      <c r="K85" s="176">
        <v>300</v>
      </c>
      <c r="L85" s="178"/>
      <c r="M85" s="187">
        <v>0</v>
      </c>
      <c r="N85" s="177"/>
      <c r="O85" s="237">
        <f t="shared" si="4"/>
        <v>0</v>
      </c>
      <c r="P85" s="70"/>
    </row>
    <row r="86" spans="1:16" ht="12.75">
      <c r="A86" s="21"/>
      <c r="B86" s="46"/>
      <c r="C86" s="44">
        <f t="shared" si="5"/>
        <v>9</v>
      </c>
      <c r="D86" s="19" t="s">
        <v>157</v>
      </c>
      <c r="E86" s="85"/>
      <c r="F86" s="89"/>
      <c r="G86" s="85"/>
      <c r="H86" s="89"/>
      <c r="I86" s="85"/>
      <c r="J86" s="89"/>
      <c r="K86" s="176">
        <v>952</v>
      </c>
      <c r="L86" s="178"/>
      <c r="M86" s="187">
        <v>951</v>
      </c>
      <c r="N86" s="177"/>
      <c r="O86" s="237">
        <f t="shared" si="4"/>
        <v>0.9989495798319328</v>
      </c>
      <c r="P86" s="70"/>
    </row>
    <row r="87" spans="1:16" ht="12.75">
      <c r="A87" s="21"/>
      <c r="B87" s="46"/>
      <c r="C87" s="44">
        <f t="shared" si="5"/>
        <v>10</v>
      </c>
      <c r="D87" s="19" t="s">
        <v>151</v>
      </c>
      <c r="E87" s="85"/>
      <c r="F87" s="89"/>
      <c r="G87" s="85"/>
      <c r="H87" s="89"/>
      <c r="I87" s="85"/>
      <c r="J87" s="89"/>
      <c r="K87" s="176">
        <v>1950</v>
      </c>
      <c r="L87" s="178"/>
      <c r="M87" s="187">
        <v>66</v>
      </c>
      <c r="N87" s="177"/>
      <c r="O87" s="237">
        <f t="shared" si="4"/>
        <v>0.033846153846153845</v>
      </c>
      <c r="P87" s="70"/>
    </row>
    <row r="88" spans="1:16" ht="12.75">
      <c r="A88" s="21"/>
      <c r="B88" s="46"/>
      <c r="C88" s="44">
        <f t="shared" si="5"/>
        <v>11</v>
      </c>
      <c r="D88" s="19" t="s">
        <v>132</v>
      </c>
      <c r="E88" s="85"/>
      <c r="F88" s="89"/>
      <c r="G88" s="85"/>
      <c r="H88" s="89"/>
      <c r="I88" s="85"/>
      <c r="J88" s="89"/>
      <c r="K88" s="176">
        <v>100</v>
      </c>
      <c r="L88" s="178"/>
      <c r="M88" s="187"/>
      <c r="N88" s="177"/>
      <c r="O88" s="237">
        <f t="shared" si="4"/>
        <v>0</v>
      </c>
      <c r="P88" s="70"/>
    </row>
    <row r="89" spans="1:16" ht="12.75">
      <c r="A89" s="21"/>
      <c r="B89" s="46"/>
      <c r="C89" s="44">
        <f t="shared" si="5"/>
        <v>12</v>
      </c>
      <c r="D89" s="19" t="s">
        <v>160</v>
      </c>
      <c r="E89" s="85"/>
      <c r="F89" s="89"/>
      <c r="G89" s="85"/>
      <c r="H89" s="89"/>
      <c r="I89" s="85"/>
      <c r="J89" s="89"/>
      <c r="K89" s="176">
        <v>3900</v>
      </c>
      <c r="L89" s="178"/>
      <c r="M89" s="187">
        <f>400+145</f>
        <v>545</v>
      </c>
      <c r="N89" s="177"/>
      <c r="O89" s="237">
        <f t="shared" si="4"/>
        <v>0.13974358974358975</v>
      </c>
      <c r="P89" s="70"/>
    </row>
    <row r="90" spans="1:16" ht="12.75">
      <c r="A90" s="21"/>
      <c r="B90" s="46"/>
      <c r="C90" s="44">
        <f t="shared" si="5"/>
        <v>13</v>
      </c>
      <c r="D90" s="19" t="s">
        <v>140</v>
      </c>
      <c r="E90" s="85"/>
      <c r="F90" s="89"/>
      <c r="G90" s="85"/>
      <c r="H90" s="89"/>
      <c r="I90" s="85"/>
      <c r="J90" s="89"/>
      <c r="K90" s="176">
        <v>75</v>
      </c>
      <c r="L90" s="178"/>
      <c r="M90" s="187">
        <v>0</v>
      </c>
      <c r="N90" s="177"/>
      <c r="O90" s="237">
        <f t="shared" si="4"/>
        <v>0</v>
      </c>
      <c r="P90" s="70"/>
    </row>
    <row r="91" spans="1:16" ht="12.75">
      <c r="A91" s="21"/>
      <c r="B91" s="46"/>
      <c r="C91" s="44">
        <f t="shared" si="5"/>
        <v>14</v>
      </c>
      <c r="D91" s="19" t="s">
        <v>156</v>
      </c>
      <c r="E91" s="85"/>
      <c r="F91" s="89"/>
      <c r="G91" s="85"/>
      <c r="H91" s="89"/>
      <c r="I91" s="85"/>
      <c r="J91" s="89"/>
      <c r="K91" s="176">
        <f>250+550</f>
        <v>800</v>
      </c>
      <c r="L91" s="178"/>
      <c r="M91" s="187">
        <f>974-25</f>
        <v>949</v>
      </c>
      <c r="N91" s="177"/>
      <c r="O91" s="237">
        <f t="shared" si="4"/>
        <v>1.18625</v>
      </c>
      <c r="P91" s="70"/>
    </row>
    <row r="92" spans="1:16" ht="12.75">
      <c r="A92" s="21"/>
      <c r="B92" s="46"/>
      <c r="C92" s="44">
        <f t="shared" si="5"/>
        <v>15</v>
      </c>
      <c r="D92" s="19" t="s">
        <v>141</v>
      </c>
      <c r="E92" s="85"/>
      <c r="F92" s="89"/>
      <c r="G92" s="85"/>
      <c r="H92" s="89"/>
      <c r="I92" s="85"/>
      <c r="J92" s="89"/>
      <c r="K92" s="176">
        <v>0</v>
      </c>
      <c r="L92" s="178"/>
      <c r="M92" s="187">
        <v>0</v>
      </c>
      <c r="N92" s="177"/>
      <c r="O92" s="237"/>
      <c r="P92" s="70"/>
    </row>
    <row r="93" spans="1:16" ht="12.75">
      <c r="A93" s="21"/>
      <c r="B93" s="46"/>
      <c r="C93" s="44">
        <f t="shared" si="5"/>
        <v>16</v>
      </c>
      <c r="D93" s="19" t="s">
        <v>154</v>
      </c>
      <c r="E93" s="85"/>
      <c r="F93" s="89"/>
      <c r="G93" s="85"/>
      <c r="H93" s="89"/>
      <c r="I93" s="85"/>
      <c r="J93" s="89"/>
      <c r="K93" s="176">
        <v>445</v>
      </c>
      <c r="L93" s="178"/>
      <c r="M93" s="187">
        <v>121</v>
      </c>
      <c r="N93" s="177"/>
      <c r="O93" s="237">
        <f t="shared" si="4"/>
        <v>0.27191011235955054</v>
      </c>
      <c r="P93" s="70"/>
    </row>
    <row r="94" spans="1:16" ht="12.75">
      <c r="A94" s="21"/>
      <c r="B94" s="46"/>
      <c r="C94" s="44">
        <f t="shared" si="5"/>
        <v>17</v>
      </c>
      <c r="D94" s="19" t="s">
        <v>161</v>
      </c>
      <c r="E94" s="85"/>
      <c r="F94" s="89"/>
      <c r="G94" s="85"/>
      <c r="H94" s="89"/>
      <c r="I94" s="85"/>
      <c r="J94" s="89"/>
      <c r="K94" s="176">
        <v>268</v>
      </c>
      <c r="L94" s="178"/>
      <c r="M94" s="187">
        <v>268</v>
      </c>
      <c r="N94" s="177"/>
      <c r="O94" s="237">
        <f t="shared" si="4"/>
        <v>1</v>
      </c>
      <c r="P94" s="70"/>
    </row>
    <row r="95" spans="1:16" ht="12.75">
      <c r="A95" s="21"/>
      <c r="B95" s="46"/>
      <c r="C95" s="44">
        <f t="shared" si="5"/>
        <v>18</v>
      </c>
      <c r="D95" s="19" t="s">
        <v>164</v>
      </c>
      <c r="E95" s="85"/>
      <c r="F95" s="89"/>
      <c r="G95" s="85"/>
      <c r="H95" s="89"/>
      <c r="I95" s="85"/>
      <c r="J95" s="89"/>
      <c r="K95" s="176">
        <v>630</v>
      </c>
      <c r="L95" s="178"/>
      <c r="M95" s="187">
        <v>96</v>
      </c>
      <c r="N95" s="177"/>
      <c r="O95" s="237">
        <f t="shared" si="4"/>
        <v>0.1523809523809524</v>
      </c>
      <c r="P95" s="70"/>
    </row>
    <row r="96" spans="1:16" ht="12.75">
      <c r="A96" s="21"/>
      <c r="B96" s="46"/>
      <c r="C96" s="44">
        <f t="shared" si="5"/>
        <v>19</v>
      </c>
      <c r="D96" s="19" t="s">
        <v>85</v>
      </c>
      <c r="E96" s="85">
        <v>700</v>
      </c>
      <c r="F96" s="89"/>
      <c r="G96" s="85">
        <v>170</v>
      </c>
      <c r="H96" s="89"/>
      <c r="I96" s="85">
        <v>200</v>
      </c>
      <c r="J96" s="89"/>
      <c r="K96" s="176">
        <v>600</v>
      </c>
      <c r="L96" s="178"/>
      <c r="M96" s="187">
        <f>83+81+24+126+3+122+25+37+2</f>
        <v>503</v>
      </c>
      <c r="N96" s="177"/>
      <c r="O96" s="237">
        <f t="shared" si="4"/>
        <v>0.8383333333333334</v>
      </c>
      <c r="P96" s="70"/>
    </row>
    <row r="97" spans="1:16" ht="13.5" thickBot="1">
      <c r="A97" s="29"/>
      <c r="B97" s="48"/>
      <c r="C97" s="44"/>
      <c r="D97" s="90" t="s">
        <v>23</v>
      </c>
      <c r="E97" s="76"/>
      <c r="F97" s="91">
        <f>SUM(E78:E96)</f>
        <v>30200</v>
      </c>
      <c r="G97" s="76"/>
      <c r="H97" s="91">
        <f>SUM(G78:G96)</f>
        <v>26899</v>
      </c>
      <c r="I97" s="76"/>
      <c r="J97" s="91">
        <f>SUM(I78:I96)</f>
        <v>27185</v>
      </c>
      <c r="K97" s="173"/>
      <c r="L97" s="194">
        <f>SUM(K78:K96)</f>
        <v>37801</v>
      </c>
      <c r="M97" s="223"/>
      <c r="N97" s="175">
        <f>SUM(M78:M96)</f>
        <v>27430</v>
      </c>
      <c r="O97" s="236">
        <f>+N97/L97</f>
        <v>0.7256421787783391</v>
      </c>
      <c r="P97" s="70"/>
    </row>
    <row r="98" spans="1:16" ht="12.75">
      <c r="A98" s="11" t="s">
        <v>46</v>
      </c>
      <c r="B98" s="43" t="s">
        <v>86</v>
      </c>
      <c r="C98" s="43">
        <v>1</v>
      </c>
      <c r="D98" s="93" t="s">
        <v>87</v>
      </c>
      <c r="E98" s="94">
        <v>150</v>
      </c>
      <c r="F98" s="71"/>
      <c r="G98" s="94">
        <v>150</v>
      </c>
      <c r="H98" s="71"/>
      <c r="I98" s="94">
        <v>125</v>
      </c>
      <c r="J98" s="71"/>
      <c r="K98" s="179">
        <v>105</v>
      </c>
      <c r="L98" s="180"/>
      <c r="M98" s="224">
        <f>33+12+84</f>
        <v>129</v>
      </c>
      <c r="N98" s="225"/>
      <c r="O98" s="237">
        <f t="shared" si="4"/>
        <v>1.2285714285714286</v>
      </c>
      <c r="P98" s="70"/>
    </row>
    <row r="99" spans="1:16" ht="12.75">
      <c r="A99" s="17"/>
      <c r="B99" s="45"/>
      <c r="C99" s="45">
        <f aca="true" t="shared" si="6" ref="C99:C113">+C98+1</f>
        <v>2</v>
      </c>
      <c r="D99" s="19" t="s">
        <v>88</v>
      </c>
      <c r="E99" s="84">
        <v>400</v>
      </c>
      <c r="F99" s="73"/>
      <c r="G99" s="84">
        <v>400</v>
      </c>
      <c r="H99" s="73"/>
      <c r="I99" s="84">
        <v>300</v>
      </c>
      <c r="J99" s="73"/>
      <c r="K99" s="171">
        <v>733</v>
      </c>
      <c r="L99" s="172"/>
      <c r="M99" s="221">
        <f>409+171</f>
        <v>580</v>
      </c>
      <c r="N99" s="222"/>
      <c r="O99" s="237">
        <f t="shared" si="4"/>
        <v>0.791268758526603</v>
      </c>
      <c r="P99" s="70"/>
    </row>
    <row r="100" spans="1:16" ht="12.75">
      <c r="A100" s="17"/>
      <c r="B100" s="45"/>
      <c r="C100" s="45">
        <f t="shared" si="6"/>
        <v>3</v>
      </c>
      <c r="D100" s="19" t="s">
        <v>89</v>
      </c>
      <c r="E100" s="84">
        <v>100</v>
      </c>
      <c r="F100" s="73"/>
      <c r="G100" s="84">
        <v>100</v>
      </c>
      <c r="H100" s="73"/>
      <c r="I100" s="84">
        <v>100</v>
      </c>
      <c r="J100" s="73"/>
      <c r="K100" s="171">
        <v>200</v>
      </c>
      <c r="L100" s="172"/>
      <c r="M100" s="221">
        <f>24+50</f>
        <v>74</v>
      </c>
      <c r="N100" s="222"/>
      <c r="O100" s="237">
        <f t="shared" si="4"/>
        <v>0.37</v>
      </c>
      <c r="P100" s="70"/>
    </row>
    <row r="101" spans="1:16" ht="12.75">
      <c r="A101" s="17"/>
      <c r="B101" s="45"/>
      <c r="C101" s="45">
        <f t="shared" si="6"/>
        <v>4</v>
      </c>
      <c r="D101" s="19" t="s">
        <v>90</v>
      </c>
      <c r="E101" s="84">
        <v>360</v>
      </c>
      <c r="F101" s="73"/>
      <c r="G101" s="84">
        <v>360</v>
      </c>
      <c r="H101" s="73"/>
      <c r="I101" s="84">
        <v>300</v>
      </c>
      <c r="J101" s="73"/>
      <c r="K101" s="171">
        <v>500</v>
      </c>
      <c r="L101" s="172"/>
      <c r="M101" s="221">
        <f>2527-1625-121-281+214-126-84-48</f>
        <v>456</v>
      </c>
      <c r="N101" s="222"/>
      <c r="O101" s="237">
        <f t="shared" si="4"/>
        <v>0.912</v>
      </c>
      <c r="P101" s="70"/>
    </row>
    <row r="102" spans="1:16" ht="12.75">
      <c r="A102" s="17"/>
      <c r="B102" s="45"/>
      <c r="C102" s="45">
        <f t="shared" si="6"/>
        <v>5</v>
      </c>
      <c r="D102" s="19" t="s">
        <v>138</v>
      </c>
      <c r="E102" s="84">
        <v>5290</v>
      </c>
      <c r="F102" s="73"/>
      <c r="G102" s="84">
        <v>5290</v>
      </c>
      <c r="H102" s="73"/>
      <c r="I102" s="84">
        <v>5290</v>
      </c>
      <c r="J102" s="73"/>
      <c r="K102" s="171">
        <v>3780</v>
      </c>
      <c r="L102" s="172"/>
      <c r="M102" s="221">
        <f>9411-6523</f>
        <v>2888</v>
      </c>
      <c r="N102" s="222"/>
      <c r="O102" s="237">
        <f t="shared" si="4"/>
        <v>0.764021164021164</v>
      </c>
      <c r="P102" s="70"/>
    </row>
    <row r="103" spans="1:16" ht="12.75">
      <c r="A103" s="17"/>
      <c r="B103" s="45"/>
      <c r="C103" s="45">
        <f t="shared" si="6"/>
        <v>6</v>
      </c>
      <c r="D103" s="19" t="s">
        <v>91</v>
      </c>
      <c r="E103" s="84">
        <v>1350</v>
      </c>
      <c r="F103" s="73"/>
      <c r="G103" s="84">
        <v>1450</v>
      </c>
      <c r="H103" s="73"/>
      <c r="I103" s="84">
        <v>1500</v>
      </c>
      <c r="J103" s="73"/>
      <c r="K103" s="171">
        <f>2030+156</f>
        <v>2186</v>
      </c>
      <c r="L103" s="172"/>
      <c r="M103" s="221">
        <f>1615+10+84</f>
        <v>1709</v>
      </c>
      <c r="N103" s="222"/>
      <c r="O103" s="237">
        <f t="shared" si="4"/>
        <v>0.7817932296431839</v>
      </c>
      <c r="P103" s="70"/>
    </row>
    <row r="104" spans="1:16" ht="12.75">
      <c r="A104" s="17"/>
      <c r="B104" s="45"/>
      <c r="C104" s="45">
        <f t="shared" si="6"/>
        <v>7</v>
      </c>
      <c r="D104" s="19" t="s">
        <v>92</v>
      </c>
      <c r="E104" s="84">
        <v>1535</v>
      </c>
      <c r="F104" s="73"/>
      <c r="G104" s="84">
        <v>1535</v>
      </c>
      <c r="H104" s="73"/>
      <c r="I104" s="84">
        <v>1535</v>
      </c>
      <c r="J104" s="73"/>
      <c r="K104" s="171">
        <v>1775</v>
      </c>
      <c r="L104" s="172"/>
      <c r="M104" s="221">
        <f>1513-24</f>
        <v>1489</v>
      </c>
      <c r="N104" s="222"/>
      <c r="O104" s="237">
        <f t="shared" si="4"/>
        <v>0.8388732394366197</v>
      </c>
      <c r="P104" s="70"/>
    </row>
    <row r="105" spans="1:16" ht="12.75">
      <c r="A105" s="17"/>
      <c r="B105" s="45"/>
      <c r="C105" s="45">
        <f t="shared" si="6"/>
        <v>8</v>
      </c>
      <c r="D105" s="19" t="s">
        <v>93</v>
      </c>
      <c r="E105" s="72">
        <v>542</v>
      </c>
      <c r="F105" s="73"/>
      <c r="G105" s="72">
        <v>542</v>
      </c>
      <c r="H105" s="73"/>
      <c r="I105" s="72">
        <v>542</v>
      </c>
      <c r="J105" s="73"/>
      <c r="K105" s="171">
        <v>550</v>
      </c>
      <c r="L105" s="172"/>
      <c r="M105" s="221">
        <v>366</v>
      </c>
      <c r="N105" s="222"/>
      <c r="O105" s="237">
        <f t="shared" si="4"/>
        <v>0.6654545454545454</v>
      </c>
      <c r="P105" s="70"/>
    </row>
    <row r="106" spans="1:16" ht="12.75">
      <c r="A106" s="21"/>
      <c r="B106" s="46"/>
      <c r="C106" s="45">
        <f>+C105+1</f>
        <v>9</v>
      </c>
      <c r="D106" s="26" t="s">
        <v>244</v>
      </c>
      <c r="E106" s="96">
        <v>60</v>
      </c>
      <c r="F106" s="89"/>
      <c r="G106" s="96">
        <v>60</v>
      </c>
      <c r="H106" s="89"/>
      <c r="I106" s="96">
        <v>60</v>
      </c>
      <c r="J106" s="89"/>
      <c r="K106" s="176">
        <v>370</v>
      </c>
      <c r="L106" s="178"/>
      <c r="M106" s="187">
        <f>6+35+276</f>
        <v>317</v>
      </c>
      <c r="N106" s="177"/>
      <c r="O106" s="237">
        <f t="shared" si="4"/>
        <v>0.8567567567567568</v>
      </c>
      <c r="P106" s="70"/>
    </row>
    <row r="107" spans="1:16" ht="12.75">
      <c r="A107" s="21"/>
      <c r="B107" s="46"/>
      <c r="C107" s="45">
        <f t="shared" si="6"/>
        <v>10</v>
      </c>
      <c r="D107" s="19" t="s">
        <v>148</v>
      </c>
      <c r="E107" s="85"/>
      <c r="F107" s="89"/>
      <c r="G107" s="85"/>
      <c r="H107" s="89"/>
      <c r="I107" s="85">
        <v>500</v>
      </c>
      <c r="J107" s="89"/>
      <c r="K107" s="176">
        <f>2080-268</f>
        <v>1812</v>
      </c>
      <c r="L107" s="178"/>
      <c r="M107" s="187">
        <v>1602</v>
      </c>
      <c r="N107" s="177"/>
      <c r="O107" s="237">
        <f t="shared" si="4"/>
        <v>0.8841059602649006</v>
      </c>
      <c r="P107" s="70"/>
    </row>
    <row r="108" spans="1:16" ht="12.75">
      <c r="A108" s="21"/>
      <c r="B108" s="46"/>
      <c r="C108" s="45">
        <f t="shared" si="6"/>
        <v>11</v>
      </c>
      <c r="D108" s="26" t="s">
        <v>147</v>
      </c>
      <c r="E108" s="85"/>
      <c r="F108" s="89"/>
      <c r="G108" s="85"/>
      <c r="H108" s="89"/>
      <c r="I108" s="85"/>
      <c r="J108" s="89"/>
      <c r="K108" s="176">
        <v>500</v>
      </c>
      <c r="L108" s="178"/>
      <c r="M108" s="187">
        <v>468</v>
      </c>
      <c r="N108" s="177"/>
      <c r="O108" s="237">
        <f t="shared" si="4"/>
        <v>0.936</v>
      </c>
      <c r="P108" s="70"/>
    </row>
    <row r="109" spans="1:16" ht="12.75">
      <c r="A109" s="21"/>
      <c r="B109" s="46"/>
      <c r="C109" s="45">
        <f t="shared" si="6"/>
        <v>12</v>
      </c>
      <c r="D109" s="26" t="s">
        <v>154</v>
      </c>
      <c r="E109" s="96"/>
      <c r="F109" s="89"/>
      <c r="G109" s="96"/>
      <c r="H109" s="89"/>
      <c r="I109" s="96"/>
      <c r="J109" s="89"/>
      <c r="K109" s="176">
        <v>0</v>
      </c>
      <c r="L109" s="178"/>
      <c r="M109" s="187">
        <v>0</v>
      </c>
      <c r="N109" s="177"/>
      <c r="O109" s="237"/>
      <c r="P109" s="70"/>
    </row>
    <row r="110" spans="1:15" ht="12.75">
      <c r="A110" s="21"/>
      <c r="B110" s="46"/>
      <c r="C110" s="45">
        <f t="shared" si="6"/>
        <v>13</v>
      </c>
      <c r="D110" s="26" t="s">
        <v>126</v>
      </c>
      <c r="E110" s="96"/>
      <c r="F110" s="89"/>
      <c r="G110" s="96"/>
      <c r="H110" s="89"/>
      <c r="I110" s="96"/>
      <c r="J110" s="89"/>
      <c r="K110" s="176">
        <v>281</v>
      </c>
      <c r="L110" s="178"/>
      <c r="M110" s="187">
        <v>281</v>
      </c>
      <c r="N110" s="177"/>
      <c r="O110" s="237">
        <f t="shared" si="4"/>
        <v>1</v>
      </c>
    </row>
    <row r="111" spans="1:15" ht="12.75">
      <c r="A111" s="21"/>
      <c r="B111" s="46"/>
      <c r="C111" s="45">
        <f t="shared" si="6"/>
        <v>14</v>
      </c>
      <c r="D111" s="26" t="s">
        <v>153</v>
      </c>
      <c r="E111" s="96"/>
      <c r="F111" s="89"/>
      <c r="G111" s="96"/>
      <c r="H111" s="89"/>
      <c r="I111" s="96"/>
      <c r="J111" s="89"/>
      <c r="K111" s="176">
        <v>250</v>
      </c>
      <c r="L111" s="178"/>
      <c r="M111" s="187">
        <v>48</v>
      </c>
      <c r="N111" s="177"/>
      <c r="O111" s="237">
        <f t="shared" si="4"/>
        <v>0.192</v>
      </c>
    </row>
    <row r="112" spans="1:17" ht="12.75">
      <c r="A112" s="21"/>
      <c r="B112" s="46"/>
      <c r="C112" s="45">
        <f t="shared" si="6"/>
        <v>15</v>
      </c>
      <c r="D112" s="26" t="s">
        <v>163</v>
      </c>
      <c r="E112" s="96"/>
      <c r="F112" s="89"/>
      <c r="G112" s="96"/>
      <c r="H112" s="89"/>
      <c r="I112" s="96"/>
      <c r="J112" s="89"/>
      <c r="K112" s="176">
        <f>404+36</f>
        <v>440</v>
      </c>
      <c r="L112" s="178"/>
      <c r="M112" s="187">
        <v>439</v>
      </c>
      <c r="N112" s="177"/>
      <c r="O112" s="237">
        <f t="shared" si="4"/>
        <v>0.9977272727272727</v>
      </c>
      <c r="P112" s="131">
        <f>SUM(M107:M112)</f>
        <v>2838</v>
      </c>
      <c r="Q112" s="128" t="s">
        <v>128</v>
      </c>
    </row>
    <row r="113" spans="1:17" ht="12.75">
      <c r="A113" s="21"/>
      <c r="B113" s="46"/>
      <c r="C113" s="45">
        <f t="shared" si="6"/>
        <v>16</v>
      </c>
      <c r="D113" s="26" t="s">
        <v>158</v>
      </c>
      <c r="E113" s="96"/>
      <c r="F113" s="89"/>
      <c r="G113" s="96"/>
      <c r="H113" s="89"/>
      <c r="I113" s="96"/>
      <c r="J113" s="89"/>
      <c r="K113" s="176">
        <v>375</v>
      </c>
      <c r="L113" s="178"/>
      <c r="M113" s="187">
        <f>14177-13853</f>
        <v>324</v>
      </c>
      <c r="N113" s="177"/>
      <c r="O113" s="237">
        <f t="shared" si="4"/>
        <v>0.864</v>
      </c>
      <c r="P113" s="131"/>
      <c r="Q113" s="128"/>
    </row>
    <row r="114" spans="1:16" ht="13.5" thickBot="1">
      <c r="A114" s="29"/>
      <c r="B114" s="48"/>
      <c r="C114" s="48"/>
      <c r="D114" s="31" t="s">
        <v>23</v>
      </c>
      <c r="E114" s="76"/>
      <c r="F114" s="83">
        <f>SUM(E98:E106)</f>
        <v>9787</v>
      </c>
      <c r="G114" s="76"/>
      <c r="H114" s="83">
        <f>SUM(G98:G106)</f>
        <v>9887</v>
      </c>
      <c r="I114" s="76"/>
      <c r="J114" s="83">
        <f>SUM(I98:I106)</f>
        <v>9752</v>
      </c>
      <c r="K114" s="173"/>
      <c r="L114" s="194">
        <f>SUM(K98:K113)</f>
        <v>13857</v>
      </c>
      <c r="M114" s="223"/>
      <c r="N114" s="175">
        <f>SUM(M98:M113)</f>
        <v>11170</v>
      </c>
      <c r="O114" s="236">
        <f>+N114/L114</f>
        <v>0.8060907844410767</v>
      </c>
      <c r="P114" s="80"/>
    </row>
    <row r="115" spans="1:16" ht="12.75">
      <c r="A115" s="11" t="s">
        <v>52</v>
      </c>
      <c r="B115" s="43" t="s">
        <v>94</v>
      </c>
      <c r="C115" s="43">
        <v>1</v>
      </c>
      <c r="D115" s="13" t="s">
        <v>95</v>
      </c>
      <c r="E115" s="88">
        <v>700</v>
      </c>
      <c r="F115" s="69"/>
      <c r="G115" s="88">
        <v>560</v>
      </c>
      <c r="H115" s="69"/>
      <c r="I115" s="88">
        <v>620</v>
      </c>
      <c r="J115" s="69"/>
      <c r="K115" s="169">
        <v>715</v>
      </c>
      <c r="L115" s="170"/>
      <c r="M115" s="208">
        <f>404-47</f>
        <v>357</v>
      </c>
      <c r="N115" s="220"/>
      <c r="O115" s="237">
        <f t="shared" si="4"/>
        <v>0.4993006993006993</v>
      </c>
      <c r="P115" s="70"/>
    </row>
    <row r="116" spans="1:16" ht="12.75">
      <c r="A116" s="35"/>
      <c r="B116" s="44"/>
      <c r="C116" s="45">
        <f aca="true" t="shared" si="7" ref="C116:C124">+C115+1</f>
        <v>2</v>
      </c>
      <c r="D116" s="24" t="s">
        <v>96</v>
      </c>
      <c r="E116" s="94">
        <v>90</v>
      </c>
      <c r="F116" s="71"/>
      <c r="G116" s="94">
        <v>90</v>
      </c>
      <c r="H116" s="71"/>
      <c r="I116" s="94">
        <v>90</v>
      </c>
      <c r="J116" s="71"/>
      <c r="K116" s="179">
        <v>90</v>
      </c>
      <c r="L116" s="180"/>
      <c r="M116" s="224">
        <v>64</v>
      </c>
      <c r="N116" s="225"/>
      <c r="O116" s="237">
        <f t="shared" si="4"/>
        <v>0.7111111111111111</v>
      </c>
      <c r="P116" s="70"/>
    </row>
    <row r="117" spans="1:16" ht="12.75">
      <c r="A117" s="35"/>
      <c r="B117" s="44"/>
      <c r="C117" s="45">
        <f t="shared" si="7"/>
        <v>3</v>
      </c>
      <c r="D117" s="19" t="s">
        <v>97</v>
      </c>
      <c r="E117" s="72">
        <v>900</v>
      </c>
      <c r="F117" s="71"/>
      <c r="G117" s="72">
        <v>952</v>
      </c>
      <c r="H117" s="71"/>
      <c r="I117" s="72">
        <v>1300</v>
      </c>
      <c r="J117" s="71"/>
      <c r="K117" s="171">
        <v>1100</v>
      </c>
      <c r="L117" s="180"/>
      <c r="M117" s="221">
        <f>522+47</f>
        <v>569</v>
      </c>
      <c r="N117" s="225"/>
      <c r="O117" s="237">
        <f t="shared" si="4"/>
        <v>0.5172727272727272</v>
      </c>
      <c r="P117" s="70"/>
    </row>
    <row r="118" spans="1:17" ht="12.75">
      <c r="A118" s="17"/>
      <c r="B118" s="45"/>
      <c r="C118" s="45">
        <f t="shared" si="7"/>
        <v>4</v>
      </c>
      <c r="D118" s="19" t="s">
        <v>98</v>
      </c>
      <c r="E118" s="85">
        <f>-10824+1000+325</f>
        <v>-9499</v>
      </c>
      <c r="F118" s="73"/>
      <c r="G118" s="85">
        <f>-10824+570+325+2871-212</f>
        <v>-7270</v>
      </c>
      <c r="H118" s="73"/>
      <c r="I118" s="85">
        <f>-10824+570+325+2911-193-97-35-384</f>
        <v>-7727</v>
      </c>
      <c r="J118" s="73"/>
      <c r="K118" s="176">
        <f>1700-400+800+280+60</f>
        <v>2440</v>
      </c>
      <c r="L118" s="172"/>
      <c r="M118" s="187">
        <v>1979</v>
      </c>
      <c r="N118" s="222"/>
      <c r="O118" s="237">
        <f t="shared" si="4"/>
        <v>0.8110655737704918</v>
      </c>
      <c r="P118" s="97"/>
      <c r="Q118" s="97"/>
    </row>
    <row r="119" spans="1:16" ht="12.75">
      <c r="A119" s="21"/>
      <c r="B119" s="46"/>
      <c r="C119" s="45">
        <f t="shared" si="7"/>
        <v>5</v>
      </c>
      <c r="D119" s="19" t="s">
        <v>99</v>
      </c>
      <c r="E119" s="96">
        <v>124</v>
      </c>
      <c r="F119" s="89"/>
      <c r="G119" s="96">
        <v>124</v>
      </c>
      <c r="H119" s="89"/>
      <c r="I119" s="96">
        <v>124</v>
      </c>
      <c r="J119" s="89"/>
      <c r="K119" s="176">
        <v>125</v>
      </c>
      <c r="L119" s="178"/>
      <c r="M119" s="187">
        <v>125</v>
      </c>
      <c r="N119" s="177"/>
      <c r="O119" s="237">
        <f t="shared" si="4"/>
        <v>1</v>
      </c>
      <c r="P119" s="70"/>
    </row>
    <row r="120" spans="1:16" ht="12.75">
      <c r="A120" s="21"/>
      <c r="B120" s="46"/>
      <c r="C120" s="45">
        <f t="shared" si="7"/>
        <v>6</v>
      </c>
      <c r="D120" s="19" t="s">
        <v>124</v>
      </c>
      <c r="E120" s="96">
        <v>482</v>
      </c>
      <c r="F120" s="89"/>
      <c r="G120" s="96">
        <v>482</v>
      </c>
      <c r="H120" s="89"/>
      <c r="I120" s="96">
        <v>497</v>
      </c>
      <c r="J120" s="89"/>
      <c r="K120" s="176">
        <f>27+31</f>
        <v>58</v>
      </c>
      <c r="L120" s="178"/>
      <c r="M120" s="187">
        <v>57</v>
      </c>
      <c r="N120" s="177"/>
      <c r="O120" s="237">
        <f t="shared" si="4"/>
        <v>0.9827586206896551</v>
      </c>
      <c r="P120" s="70"/>
    </row>
    <row r="121" spans="1:16" ht="12.75">
      <c r="A121" s="21"/>
      <c r="B121" s="46"/>
      <c r="C121" s="45">
        <f t="shared" si="7"/>
        <v>7</v>
      </c>
      <c r="D121" s="19" t="s">
        <v>100</v>
      </c>
      <c r="E121" s="96">
        <v>89</v>
      </c>
      <c r="F121" s="89"/>
      <c r="G121" s="96">
        <v>89</v>
      </c>
      <c r="H121" s="89"/>
      <c r="I121" s="96">
        <v>89</v>
      </c>
      <c r="J121" s="89"/>
      <c r="K121" s="176">
        <v>113</v>
      </c>
      <c r="L121" s="178"/>
      <c r="M121" s="187">
        <v>113</v>
      </c>
      <c r="N121" s="177"/>
      <c r="O121" s="237">
        <f t="shared" si="4"/>
        <v>1</v>
      </c>
      <c r="P121" s="70"/>
    </row>
    <row r="122" spans="1:16" ht="12.75">
      <c r="A122" s="21"/>
      <c r="B122" s="46"/>
      <c r="C122" s="45">
        <f t="shared" si="7"/>
        <v>8</v>
      </c>
      <c r="D122" s="19" t="s">
        <v>101</v>
      </c>
      <c r="E122" s="96">
        <v>0</v>
      </c>
      <c r="F122" s="89"/>
      <c r="G122" s="96">
        <v>100</v>
      </c>
      <c r="H122" s="89"/>
      <c r="I122" s="96">
        <v>100</v>
      </c>
      <c r="J122" s="89"/>
      <c r="K122" s="176">
        <f>80+8+71+8+65</f>
        <v>232</v>
      </c>
      <c r="L122" s="178"/>
      <c r="M122" s="187">
        <f>8+216</f>
        <v>224</v>
      </c>
      <c r="N122" s="177"/>
      <c r="O122" s="237">
        <f t="shared" si="4"/>
        <v>0.9655172413793104</v>
      </c>
      <c r="P122" s="70"/>
    </row>
    <row r="123" spans="1:16" ht="12.75">
      <c r="A123" s="21"/>
      <c r="B123" s="46"/>
      <c r="C123" s="45">
        <f t="shared" si="7"/>
        <v>9</v>
      </c>
      <c r="D123" s="19" t="s">
        <v>136</v>
      </c>
      <c r="E123" s="96"/>
      <c r="F123" s="89"/>
      <c r="G123" s="96">
        <v>251</v>
      </c>
      <c r="H123" s="89"/>
      <c r="I123" s="96">
        <v>251</v>
      </c>
      <c r="J123" s="89"/>
      <c r="K123" s="176">
        <f>215+70</f>
        <v>285</v>
      </c>
      <c r="L123" s="172"/>
      <c r="M123" s="187">
        <f>49+203</f>
        <v>252</v>
      </c>
      <c r="N123" s="222"/>
      <c r="O123" s="237">
        <f t="shared" si="4"/>
        <v>0.8842105263157894</v>
      </c>
      <c r="P123" s="70"/>
    </row>
    <row r="124" spans="1:16" ht="12.75">
      <c r="A124" s="21"/>
      <c r="B124" s="46"/>
      <c r="C124" s="45">
        <f t="shared" si="7"/>
        <v>10</v>
      </c>
      <c r="D124" s="19" t="s">
        <v>102</v>
      </c>
      <c r="E124" s="85">
        <v>704</v>
      </c>
      <c r="F124" s="89"/>
      <c r="G124" s="85">
        <v>373</v>
      </c>
      <c r="H124" s="89"/>
      <c r="I124" s="85">
        <v>359</v>
      </c>
      <c r="J124" s="89"/>
      <c r="K124" s="176">
        <v>477</v>
      </c>
      <c r="L124" s="178"/>
      <c r="M124" s="187">
        <f>24+409-125-203+1300-1219-3+63-64+131+0.6</f>
        <v>313.6</v>
      </c>
      <c r="N124" s="177"/>
      <c r="O124" s="237">
        <f t="shared" si="4"/>
        <v>0.6574423480083857</v>
      </c>
      <c r="P124" s="70"/>
    </row>
    <row r="125" spans="1:16" ht="13.5" thickBot="1">
      <c r="A125" s="29"/>
      <c r="B125" s="48"/>
      <c r="C125" s="48"/>
      <c r="D125" s="31" t="s">
        <v>23</v>
      </c>
      <c r="E125" s="76"/>
      <c r="F125" s="83">
        <f>SUM(E115:E124)</f>
        <v>-6410</v>
      </c>
      <c r="G125" s="76"/>
      <c r="H125" s="83">
        <f>SUM(G115:G124)</f>
        <v>-4249</v>
      </c>
      <c r="I125" s="76"/>
      <c r="J125" s="83">
        <f>SUM(I115:I124)</f>
        <v>-4297</v>
      </c>
      <c r="K125" s="173"/>
      <c r="L125" s="194">
        <f>SUM(K115:K124)</f>
        <v>5635</v>
      </c>
      <c r="M125" s="223"/>
      <c r="N125" s="175">
        <f>SUM(M115:M124)</f>
        <v>4053.6</v>
      </c>
      <c r="O125" s="236">
        <f>+N125/L125</f>
        <v>0.7193611357586512</v>
      </c>
      <c r="P125" s="80"/>
    </row>
    <row r="126" spans="1:16" ht="13.5" thickBot="1">
      <c r="A126" s="49" t="s">
        <v>54</v>
      </c>
      <c r="B126" s="50" t="s">
        <v>103</v>
      </c>
      <c r="C126" s="50"/>
      <c r="D126" s="51" t="s">
        <v>104</v>
      </c>
      <c r="E126" s="55">
        <v>0</v>
      </c>
      <c r="F126" s="98"/>
      <c r="G126" s="55">
        <v>0</v>
      </c>
      <c r="H126" s="98"/>
      <c r="I126" s="55">
        <v>0</v>
      </c>
      <c r="J126" s="98"/>
      <c r="K126" s="167">
        <v>900</v>
      </c>
      <c r="L126" s="195">
        <f>SUM(K126)</f>
        <v>900</v>
      </c>
      <c r="M126" s="206">
        <v>725</v>
      </c>
      <c r="N126" s="152">
        <f>SUM(M126)</f>
        <v>725</v>
      </c>
      <c r="O126" s="236">
        <f aca="true" t="shared" si="8" ref="O126:O132">+N126/L126</f>
        <v>0.8055555555555556</v>
      </c>
      <c r="P126" s="70"/>
    </row>
    <row r="127" spans="1:16" ht="13.5" thickBot="1">
      <c r="A127" s="100" t="s">
        <v>56</v>
      </c>
      <c r="B127" s="101" t="s">
        <v>129</v>
      </c>
      <c r="C127" s="101"/>
      <c r="D127" s="90"/>
      <c r="E127" s="102">
        <v>900</v>
      </c>
      <c r="F127" s="103">
        <f>SUM(E127)</f>
        <v>900</v>
      </c>
      <c r="G127" s="102">
        <v>1250</v>
      </c>
      <c r="H127" s="103">
        <f>SUM(G127)</f>
        <v>1250</v>
      </c>
      <c r="I127" s="102">
        <v>1250</v>
      </c>
      <c r="J127" s="103">
        <f>SUM(I127)</f>
        <v>1250</v>
      </c>
      <c r="K127" s="181">
        <v>1460</v>
      </c>
      <c r="L127" s="196">
        <f>SUM(K127)</f>
        <v>1460</v>
      </c>
      <c r="M127" s="204">
        <v>1561</v>
      </c>
      <c r="N127" s="182">
        <f>SUM(M127)</f>
        <v>1561</v>
      </c>
      <c r="O127" s="236">
        <f t="shared" si="8"/>
        <v>1.069178082191781</v>
      </c>
      <c r="P127" s="70"/>
    </row>
    <row r="128" spans="1:16" ht="13.5" thickBot="1">
      <c r="A128" s="104" t="s">
        <v>62</v>
      </c>
      <c r="B128" s="50" t="s">
        <v>242</v>
      </c>
      <c r="C128" s="87"/>
      <c r="D128" s="105"/>
      <c r="E128" s="106">
        <v>610</v>
      </c>
      <c r="F128" s="99">
        <f>SUM(E128)</f>
        <v>610</v>
      </c>
      <c r="G128" s="106">
        <v>610</v>
      </c>
      <c r="H128" s="99">
        <f>SUM(G128)</f>
        <v>610</v>
      </c>
      <c r="I128" s="106">
        <v>610</v>
      </c>
      <c r="J128" s="99">
        <f>SUM(I128)</f>
        <v>610</v>
      </c>
      <c r="K128" s="183">
        <v>630</v>
      </c>
      <c r="L128" s="195">
        <f>SUM(K128)</f>
        <v>630</v>
      </c>
      <c r="M128" s="226">
        <f>472+42151.2</f>
        <v>42623.2</v>
      </c>
      <c r="N128" s="152">
        <f>SUM(M128)</f>
        <v>42623.2</v>
      </c>
      <c r="O128" s="236"/>
      <c r="P128" s="80"/>
    </row>
    <row r="129" spans="1:16" ht="12.75">
      <c r="A129" s="56"/>
      <c r="B129" s="43" t="s">
        <v>105</v>
      </c>
      <c r="C129" s="43"/>
      <c r="D129" s="13"/>
      <c r="E129" s="88"/>
      <c r="F129" s="107">
        <f>SUM(F67:F128)</f>
        <v>67691</v>
      </c>
      <c r="G129" s="88"/>
      <c r="H129" s="107">
        <f>SUM(H67:H128)</f>
        <v>67324</v>
      </c>
      <c r="I129" s="88"/>
      <c r="J129" s="107">
        <f>SUM(J67:J128)</f>
        <v>68386</v>
      </c>
      <c r="K129" s="68"/>
      <c r="L129" s="197">
        <f>SUM(L67:L128)</f>
        <v>98850</v>
      </c>
      <c r="M129" s="227"/>
      <c r="N129" s="148">
        <f>SUM(N67:N128)</f>
        <v>115540.5</v>
      </c>
      <c r="O129" s="236">
        <f t="shared" si="8"/>
        <v>1.1688467374810318</v>
      </c>
      <c r="P129" s="108"/>
    </row>
    <row r="130" spans="1:17" ht="13.5" thickBot="1">
      <c r="A130" s="59"/>
      <c r="B130" s="48" t="s">
        <v>106</v>
      </c>
      <c r="C130" s="48"/>
      <c r="D130" s="31"/>
      <c r="E130" s="76"/>
      <c r="F130" s="109">
        <f>+F129-610</f>
        <v>67081</v>
      </c>
      <c r="G130" s="76"/>
      <c r="H130" s="109">
        <f>+H129-610</f>
        <v>66714</v>
      </c>
      <c r="I130" s="76"/>
      <c r="J130" s="109">
        <f>+J129-610</f>
        <v>67776</v>
      </c>
      <c r="K130" s="76"/>
      <c r="L130" s="198">
        <f>+L129-630</f>
        <v>98220</v>
      </c>
      <c r="M130" s="228"/>
      <c r="N130" s="149">
        <f>+N129-42619.4</f>
        <v>72921.1</v>
      </c>
      <c r="O130" s="236">
        <f t="shared" si="8"/>
        <v>0.7424261861128081</v>
      </c>
      <c r="P130" s="27">
        <f>+N130-N97-P112</f>
        <v>42653.100000000006</v>
      </c>
      <c r="Q130" t="s">
        <v>107</v>
      </c>
    </row>
    <row r="131" spans="1:17" ht="13.5" thickBot="1">
      <c r="A131" s="110"/>
      <c r="B131" s="110"/>
      <c r="C131" s="110"/>
      <c r="D131" s="110"/>
      <c r="E131" s="97"/>
      <c r="F131" s="111"/>
      <c r="G131" s="97"/>
      <c r="H131" s="111"/>
      <c r="I131" s="97"/>
      <c r="J131" s="111"/>
      <c r="K131" s="97"/>
      <c r="L131" s="111"/>
      <c r="M131" s="70"/>
      <c r="N131" s="108"/>
      <c r="O131" s="236"/>
      <c r="P131" s="27">
        <f>+P56-P130</f>
        <v>18253.599999999984</v>
      </c>
      <c r="Q131" t="s">
        <v>108</v>
      </c>
    </row>
    <row r="132" spans="1:17" ht="13.5" thickBot="1">
      <c r="A132" s="112"/>
      <c r="B132" s="113" t="s">
        <v>109</v>
      </c>
      <c r="C132" s="129"/>
      <c r="D132" s="130"/>
      <c r="E132" s="99"/>
      <c r="F132" s="99">
        <f>+F56-F130</f>
        <v>-5012.699999999997</v>
      </c>
      <c r="G132" s="99"/>
      <c r="H132" s="99">
        <f>+H56-H130</f>
        <v>-4052.699999999997</v>
      </c>
      <c r="I132" s="99"/>
      <c r="J132" s="99">
        <f>+J56-J130</f>
        <v>-3825.699999999997</v>
      </c>
      <c r="K132" s="99"/>
      <c r="L132" s="195">
        <f>+L56-L130</f>
        <v>4534</v>
      </c>
      <c r="M132" s="229"/>
      <c r="N132" s="152">
        <f>+N56-N130</f>
        <v>700.1999999999825</v>
      </c>
      <c r="O132" s="236">
        <f t="shared" si="8"/>
        <v>0.15443317159240902</v>
      </c>
      <c r="P132" s="114">
        <f>+P131/P56</f>
        <v>0.299697734403604</v>
      </c>
      <c r="Q132" t="s">
        <v>110</v>
      </c>
    </row>
    <row r="133" spans="1:16" ht="12.75">
      <c r="A133" s="112"/>
      <c r="B133" s="132" t="s">
        <v>111</v>
      </c>
      <c r="C133" s="145" t="s">
        <v>137</v>
      </c>
      <c r="D133" s="139"/>
      <c r="E133" s="140"/>
      <c r="F133" s="141"/>
      <c r="G133" s="140"/>
      <c r="H133" s="141"/>
      <c r="I133" s="140"/>
      <c r="J133" s="140"/>
      <c r="K133" s="184">
        <v>10600</v>
      </c>
      <c r="L133" s="199"/>
      <c r="M133" s="230">
        <v>10600</v>
      </c>
      <c r="N133" s="153"/>
      <c r="O133" s="237">
        <f aca="true" t="shared" si="9" ref="O133:O142">+M133/K133</f>
        <v>1</v>
      </c>
      <c r="P133" s="114"/>
    </row>
    <row r="134" spans="2:22" ht="12.75">
      <c r="B134" s="133"/>
      <c r="C134" s="146" t="s">
        <v>112</v>
      </c>
      <c r="D134" s="142"/>
      <c r="E134" s="143">
        <f>-606-224-3000-1875-2873</f>
        <v>-8578</v>
      </c>
      <c r="F134" s="144"/>
      <c r="G134" s="143">
        <f>-606-224-3000-1875-2873-130</f>
        <v>-8708</v>
      </c>
      <c r="H134" s="144"/>
      <c r="I134" s="143">
        <f>-606-224-3000-1875-2873-143</f>
        <v>-8721</v>
      </c>
      <c r="J134" s="144"/>
      <c r="K134" s="185">
        <f>-3125-2500-225-184-1500-10600</f>
        <v>-18134</v>
      </c>
      <c r="L134" s="200"/>
      <c r="M134" s="231">
        <f>-4523.6-10600</f>
        <v>-15123.6</v>
      </c>
      <c r="N134" s="154"/>
      <c r="O134" s="237">
        <f t="shared" si="9"/>
        <v>0.8339913973750965</v>
      </c>
      <c r="P134" s="80"/>
      <c r="V134" s="147"/>
    </row>
    <row r="135" spans="2:22" ht="12.75">
      <c r="B135" s="133"/>
      <c r="C135" s="146" t="s">
        <v>243</v>
      </c>
      <c r="D135" s="142"/>
      <c r="E135" s="143"/>
      <c r="F135" s="144"/>
      <c r="G135" s="143"/>
      <c r="H135" s="144"/>
      <c r="I135" s="143"/>
      <c r="J135" s="144"/>
      <c r="K135" s="185"/>
      <c r="L135" s="200"/>
      <c r="M135" s="231">
        <f>61.7+21.1</f>
        <v>82.80000000000001</v>
      </c>
      <c r="N135" s="154"/>
      <c r="O135" s="237"/>
      <c r="P135" s="80"/>
      <c r="V135" s="147"/>
    </row>
    <row r="136" spans="2:16" ht="13.5" thickBot="1">
      <c r="B136" s="118" t="s">
        <v>113</v>
      </c>
      <c r="C136" s="134" t="s">
        <v>114</v>
      </c>
      <c r="D136" s="135"/>
      <c r="E136" s="136">
        <v>-27</v>
      </c>
      <c r="F136" s="137">
        <f>SUM(E134:E136)</f>
        <v>-8605</v>
      </c>
      <c r="G136" s="136">
        <v>0</v>
      </c>
      <c r="H136" s="137">
        <f>SUM(G134:G136)</f>
        <v>-8708</v>
      </c>
      <c r="I136" s="136">
        <v>400</v>
      </c>
      <c r="J136" s="138">
        <f>SUM(I134:I136)</f>
        <v>-8321</v>
      </c>
      <c r="K136" s="201">
        <v>3000</v>
      </c>
      <c r="L136" s="202">
        <f>SUM(K133:K136)</f>
        <v>-4534</v>
      </c>
      <c r="M136" s="207">
        <v>3740.6</v>
      </c>
      <c r="N136" s="155">
        <f>SUM(M133:M136)</f>
        <v>-700.2000000000003</v>
      </c>
      <c r="O136" s="237">
        <f t="shared" si="9"/>
        <v>1.2468666666666666</v>
      </c>
      <c r="P136" s="203">
        <f>SUM(N132:N136)</f>
        <v>-1.77351466845721E-11</v>
      </c>
    </row>
    <row r="137" spans="2:16" ht="12.75">
      <c r="B137" s="119" t="s">
        <v>115</v>
      </c>
      <c r="C137" s="44"/>
      <c r="D137" s="44"/>
      <c r="E137" s="120">
        <v>3802</v>
      </c>
      <c r="F137" s="95" t="s">
        <v>116</v>
      </c>
      <c r="G137" s="120">
        <v>3802</v>
      </c>
      <c r="H137" s="95" t="s">
        <v>116</v>
      </c>
      <c r="I137" s="120">
        <v>3802</v>
      </c>
      <c r="J137" s="95" t="s">
        <v>116</v>
      </c>
      <c r="K137" s="120">
        <v>9198</v>
      </c>
      <c r="L137" s="95" t="s">
        <v>116</v>
      </c>
      <c r="M137" s="232">
        <v>9198</v>
      </c>
      <c r="N137" s="115" t="s">
        <v>116</v>
      </c>
      <c r="O137" s="237">
        <f t="shared" si="9"/>
        <v>1</v>
      </c>
      <c r="P137" s="80"/>
    </row>
    <row r="138" spans="2:16" ht="12.75">
      <c r="B138" s="117" t="s">
        <v>117</v>
      </c>
      <c r="C138" s="45"/>
      <c r="D138" s="45"/>
      <c r="E138" s="121">
        <f>+E136-E141</f>
        <v>-27</v>
      </c>
      <c r="F138" s="81" t="s">
        <v>116</v>
      </c>
      <c r="G138" s="121">
        <f>+G136-G141</f>
        <v>0</v>
      </c>
      <c r="H138" s="81" t="s">
        <v>116</v>
      </c>
      <c r="I138" s="121">
        <f>+I136-I141</f>
        <v>400</v>
      </c>
      <c r="J138" s="81" t="s">
        <v>116</v>
      </c>
      <c r="K138" s="121">
        <f>+K136-K141</f>
        <v>3000</v>
      </c>
      <c r="L138" s="81" t="s">
        <v>116</v>
      </c>
      <c r="M138" s="233">
        <f>+M136-M141</f>
        <v>3736.8000000000043</v>
      </c>
      <c r="N138" s="122" t="s">
        <v>116</v>
      </c>
      <c r="O138" s="237">
        <f t="shared" si="9"/>
        <v>1.2456000000000014</v>
      </c>
      <c r="P138" s="80"/>
    </row>
    <row r="139" spans="2:16" ht="13.5" thickBot="1">
      <c r="B139" s="59" t="s">
        <v>118</v>
      </c>
      <c r="C139" s="48"/>
      <c r="D139" s="48"/>
      <c r="E139" s="123">
        <f>+E137-E138</f>
        <v>3829</v>
      </c>
      <c r="F139" s="83" t="s">
        <v>116</v>
      </c>
      <c r="G139" s="123">
        <f>+G137-G138</f>
        <v>3802</v>
      </c>
      <c r="H139" s="83" t="s">
        <v>116</v>
      </c>
      <c r="I139" s="123">
        <f>+I137-I138</f>
        <v>3402</v>
      </c>
      <c r="J139" s="83" t="s">
        <v>116</v>
      </c>
      <c r="K139" s="123">
        <f>+K137-K138</f>
        <v>6198</v>
      </c>
      <c r="L139" s="83" t="s">
        <v>116</v>
      </c>
      <c r="M139" s="234">
        <f>+M137-M138</f>
        <v>5461.199999999995</v>
      </c>
      <c r="N139" s="92" t="s">
        <v>116</v>
      </c>
      <c r="O139" s="237">
        <f t="shared" si="9"/>
        <v>0.8811229428848008</v>
      </c>
      <c r="P139" s="80"/>
    </row>
    <row r="140" spans="2:16" ht="12.75">
      <c r="B140" s="56" t="s">
        <v>119</v>
      </c>
      <c r="C140" s="43"/>
      <c r="D140" s="43"/>
      <c r="E140" s="124">
        <v>198</v>
      </c>
      <c r="F140" s="69" t="s">
        <v>116</v>
      </c>
      <c r="G140" s="124">
        <v>198</v>
      </c>
      <c r="H140" s="69" t="s">
        <v>116</v>
      </c>
      <c r="I140" s="124">
        <v>198</v>
      </c>
      <c r="J140" s="69" t="s">
        <v>116</v>
      </c>
      <c r="K140" s="124">
        <v>300</v>
      </c>
      <c r="L140" s="69" t="s">
        <v>116</v>
      </c>
      <c r="M140" s="235">
        <v>300</v>
      </c>
      <c r="N140" s="125" t="s">
        <v>116</v>
      </c>
      <c r="O140" s="237">
        <f t="shared" si="9"/>
        <v>1</v>
      </c>
      <c r="P140" s="70"/>
    </row>
    <row r="141" spans="2:15" ht="12.75">
      <c r="B141" s="117" t="s">
        <v>120</v>
      </c>
      <c r="C141" s="45"/>
      <c r="D141" s="45"/>
      <c r="E141" s="121">
        <f>E128-E54</f>
        <v>0</v>
      </c>
      <c r="F141" s="73" t="s">
        <v>116</v>
      </c>
      <c r="G141" s="121">
        <f>G128-G54</f>
        <v>0</v>
      </c>
      <c r="H141" s="73" t="s">
        <v>116</v>
      </c>
      <c r="I141" s="121">
        <f>I128-I54</f>
        <v>0</v>
      </c>
      <c r="J141" s="73" t="s">
        <v>116</v>
      </c>
      <c r="K141" s="121">
        <f>K128-K54</f>
        <v>0</v>
      </c>
      <c r="L141" s="73" t="s">
        <v>116</v>
      </c>
      <c r="M141" s="233">
        <f>M128-M54</f>
        <v>3.7999999999956344</v>
      </c>
      <c r="N141" s="126" t="s">
        <v>116</v>
      </c>
      <c r="O141" s="237"/>
    </row>
    <row r="142" spans="2:16" ht="13.5" thickBot="1">
      <c r="B142" s="59" t="s">
        <v>121</v>
      </c>
      <c r="C142" s="48"/>
      <c r="D142" s="48"/>
      <c r="E142" s="123">
        <f>+E140-E141</f>
        <v>198</v>
      </c>
      <c r="F142" s="91" t="s">
        <v>116</v>
      </c>
      <c r="G142" s="123">
        <f>+G140-G141</f>
        <v>198</v>
      </c>
      <c r="H142" s="91" t="s">
        <v>116</v>
      </c>
      <c r="I142" s="123">
        <f>+I140-I141</f>
        <v>198</v>
      </c>
      <c r="J142" s="91" t="s">
        <v>116</v>
      </c>
      <c r="K142" s="123">
        <f>+K140-K141</f>
        <v>300</v>
      </c>
      <c r="L142" s="91" t="s">
        <v>116</v>
      </c>
      <c r="M142" s="234">
        <f>+M140-M141</f>
        <v>296.20000000000437</v>
      </c>
      <c r="N142" s="127" t="s">
        <v>116</v>
      </c>
      <c r="O142" s="237">
        <f t="shared" si="9"/>
        <v>0.9873333333333479</v>
      </c>
      <c r="P142" s="70"/>
    </row>
    <row r="144" ht="12.75">
      <c r="B144" s="110"/>
    </row>
    <row r="634" ht="12.75">
      <c r="J634" s="128" t="s">
        <v>127</v>
      </c>
    </row>
  </sheetData>
  <sheetProtection/>
  <mergeCells count="10">
    <mergeCell ref="M1:N1"/>
    <mergeCell ref="M57:N57"/>
    <mergeCell ref="E57:F57"/>
    <mergeCell ref="G57:H57"/>
    <mergeCell ref="I57:J57"/>
    <mergeCell ref="E1:F1"/>
    <mergeCell ref="G1:H1"/>
    <mergeCell ref="I1:J1"/>
    <mergeCell ref="K1:L1"/>
    <mergeCell ref="K57:L57"/>
  </mergeCells>
  <printOptions/>
  <pageMargins left="1.1023622047244095" right="0.9055118110236221" top="0.6692913385826772" bottom="0.7086614173228347" header="0.3937007874015748" footer="0.4330708661417323"/>
  <pageSetup horizontalDpi="600" verticalDpi="600" orientation="portrait" paperSize="9" scale="70" r:id="rId1"/>
  <headerFooter alignWithMargins="0">
    <oddHeader>&amp;C&amp;"Arial,Tučné"&amp;14Plnění rozpočtu města Blovice za 3.Q. 2014</oddHeader>
    <oddFooter>&amp;Lsestavil: Ing. Hodek
</oddFooter>
  </headerFooter>
  <rowBreaks count="2" manualBreakCount="2">
    <brk id="56" max="255" man="1"/>
    <brk id="1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B14" sqref="B14"/>
    </sheetView>
  </sheetViews>
  <sheetFormatPr defaultColWidth="8.8515625" defaultRowHeight="12.75"/>
  <cols>
    <col min="1" max="1" width="4.28125" style="239" customWidth="1"/>
    <col min="2" max="2" width="17.00390625" style="239" customWidth="1"/>
    <col min="3" max="10" width="8.8515625" style="239" customWidth="1"/>
    <col min="11" max="11" width="6.7109375" style="239" customWidth="1"/>
    <col min="12" max="12" width="1.7109375" style="239" customWidth="1"/>
    <col min="13" max="19" width="8.8515625" style="239" customWidth="1"/>
    <col min="20" max="20" width="10.00390625" style="239" customWidth="1"/>
    <col min="21" max="21" width="6.28125" style="239" customWidth="1"/>
    <col min="22" max="16384" width="8.8515625" style="239" customWidth="1"/>
  </cols>
  <sheetData>
    <row r="1" spans="1:3" ht="15" customHeight="1" thickBot="1">
      <c r="A1" s="439" t="s">
        <v>168</v>
      </c>
      <c r="B1" s="440"/>
      <c r="C1" s="238" t="s">
        <v>116</v>
      </c>
    </row>
    <row r="2" spans="1:3" ht="15" customHeight="1">
      <c r="A2" s="240" t="s">
        <v>9</v>
      </c>
      <c r="B2" s="241" t="s">
        <v>169</v>
      </c>
      <c r="C2" s="242">
        <f>příjmy_výdaje!N18</f>
        <v>24229.4</v>
      </c>
    </row>
    <row r="3" spans="1:3" ht="15" customHeight="1">
      <c r="A3" s="243" t="s">
        <v>18</v>
      </c>
      <c r="B3" s="241" t="s">
        <v>170</v>
      </c>
      <c r="C3" s="242">
        <f>příjmy_výdaje!N22</f>
        <v>34524</v>
      </c>
    </row>
    <row r="4" spans="1:3" ht="15" customHeight="1">
      <c r="A4" s="243" t="s">
        <v>24</v>
      </c>
      <c r="B4" s="241" t="s">
        <v>171</v>
      </c>
      <c r="C4" s="242">
        <f>příjmy_výdaje!N34</f>
        <v>6909</v>
      </c>
    </row>
    <row r="5" spans="1:3" ht="15" customHeight="1">
      <c r="A5" s="243" t="s">
        <v>40</v>
      </c>
      <c r="B5" s="241" t="s">
        <v>172</v>
      </c>
      <c r="C5" s="242">
        <f>příjmy_výdaje!N40</f>
        <v>1042</v>
      </c>
    </row>
    <row r="6" spans="1:3" ht="15" customHeight="1">
      <c r="A6" s="243" t="s">
        <v>46</v>
      </c>
      <c r="B6" s="241" t="s">
        <v>173</v>
      </c>
      <c r="C6" s="242">
        <f>příjmy_výdaje!N45</f>
        <v>2901</v>
      </c>
    </row>
    <row r="7" spans="1:3" ht="15" customHeight="1">
      <c r="A7" s="243" t="s">
        <v>52</v>
      </c>
      <c r="B7" s="241" t="s">
        <v>174</v>
      </c>
      <c r="C7" s="242">
        <f>příjmy_výdaje!N46</f>
        <v>1629</v>
      </c>
    </row>
    <row r="8" spans="1:3" ht="15" customHeight="1">
      <c r="A8" s="243" t="s">
        <v>54</v>
      </c>
      <c r="B8" s="241" t="s">
        <v>175</v>
      </c>
      <c r="C8" s="242">
        <f>příjmy_výdaje!N47</f>
        <v>6</v>
      </c>
    </row>
    <row r="9" spans="1:3" ht="15" customHeight="1">
      <c r="A9" s="243" t="s">
        <v>56</v>
      </c>
      <c r="B9" s="241" t="s">
        <v>176</v>
      </c>
      <c r="C9" s="242">
        <f>příjmy_výdaje!N53</f>
        <v>2380.9</v>
      </c>
    </row>
    <row r="10" spans="1:3" ht="15" customHeight="1" thickBot="1">
      <c r="A10" s="243" t="s">
        <v>62</v>
      </c>
      <c r="B10" s="241" t="s">
        <v>177</v>
      </c>
      <c r="C10" s="242">
        <f>příjmy_výdaje!N38</f>
        <v>0</v>
      </c>
    </row>
    <row r="11" spans="1:3" ht="15" customHeight="1" thickBot="1">
      <c r="A11" s="244"/>
      <c r="B11" s="245" t="s">
        <v>178</v>
      </c>
      <c r="C11" s="246">
        <f>SUM(C2:C10)</f>
        <v>73621.29999999999</v>
      </c>
    </row>
    <row r="12" spans="1:2" ht="15" customHeight="1">
      <c r="A12" s="247"/>
      <c r="B12" s="247"/>
    </row>
    <row r="13" spans="1:3" ht="15" customHeight="1">
      <c r="A13" s="248"/>
      <c r="B13" s="248"/>
      <c r="C13" s="249"/>
    </row>
    <row r="14" ht="15" customHeight="1"/>
    <row r="15" ht="15" customHeight="1"/>
    <row r="16" ht="15" customHeight="1"/>
    <row r="17" ht="15" customHeight="1"/>
    <row r="18" ht="15" customHeight="1" thickBot="1"/>
    <row r="19" spans="1:3" ht="15" customHeight="1" thickBot="1">
      <c r="A19" s="441" t="s">
        <v>179</v>
      </c>
      <c r="B19" s="442"/>
      <c r="C19" s="238" t="s">
        <v>116</v>
      </c>
    </row>
    <row r="20" spans="1:3" ht="15" customHeight="1">
      <c r="A20" s="240" t="s">
        <v>9</v>
      </c>
      <c r="B20" s="250" t="s">
        <v>180</v>
      </c>
      <c r="C20" s="242">
        <f>příjmy_výdaje!N67</f>
        <v>5357</v>
      </c>
    </row>
    <row r="21" spans="1:3" ht="15" customHeight="1">
      <c r="A21" s="243" t="s">
        <v>18</v>
      </c>
      <c r="B21" s="241" t="s">
        <v>181</v>
      </c>
      <c r="C21" s="242">
        <f>příjmy_výdaje!N70-468</f>
        <v>18944</v>
      </c>
    </row>
    <row r="22" spans="1:3" ht="15" customHeight="1">
      <c r="A22" s="243" t="s">
        <v>24</v>
      </c>
      <c r="B22" s="241" t="s">
        <v>182</v>
      </c>
      <c r="C22" s="242">
        <f>příjmy_výdaje!N77</f>
        <v>3208.7</v>
      </c>
    </row>
    <row r="23" spans="1:3" ht="15" customHeight="1">
      <c r="A23" s="243" t="s">
        <v>40</v>
      </c>
      <c r="B23" s="241" t="s">
        <v>183</v>
      </c>
      <c r="C23" s="242">
        <f>příjmy_výdaje!N97</f>
        <v>27430</v>
      </c>
    </row>
    <row r="24" spans="1:3" ht="15" customHeight="1">
      <c r="A24" s="243" t="s">
        <v>46</v>
      </c>
      <c r="B24" s="251" t="s">
        <v>184</v>
      </c>
      <c r="C24" s="242">
        <f>příjmy_výdaje!N114</f>
        <v>11170</v>
      </c>
    </row>
    <row r="25" spans="1:3" ht="15" customHeight="1">
      <c r="A25" s="243" t="s">
        <v>52</v>
      </c>
      <c r="B25" s="241" t="s">
        <v>185</v>
      </c>
      <c r="C25" s="242">
        <f>příjmy_výdaje!N125</f>
        <v>4053.6</v>
      </c>
    </row>
    <row r="26" spans="1:3" ht="15" customHeight="1">
      <c r="A26" s="243" t="s">
        <v>54</v>
      </c>
      <c r="B26" s="241" t="s">
        <v>186</v>
      </c>
      <c r="C26" s="242">
        <f>příjmy_výdaje!N126</f>
        <v>725</v>
      </c>
    </row>
    <row r="27" spans="1:3" ht="15" customHeight="1">
      <c r="A27" s="243" t="s">
        <v>56</v>
      </c>
      <c r="B27" s="241" t="s">
        <v>174</v>
      </c>
      <c r="C27" s="242">
        <f>příjmy_výdaje!N127</f>
        <v>1561</v>
      </c>
    </row>
    <row r="28" spans="1:3" ht="15" customHeight="1" thickBot="1">
      <c r="A28" s="252" t="s">
        <v>62</v>
      </c>
      <c r="B28" s="253" t="s">
        <v>177</v>
      </c>
      <c r="C28" s="242">
        <v>472</v>
      </c>
    </row>
    <row r="29" spans="1:3" ht="15" customHeight="1" thickBot="1">
      <c r="A29" s="244"/>
      <c r="B29" s="245" t="s">
        <v>178</v>
      </c>
      <c r="C29" s="246">
        <f>SUM(C20:C28)</f>
        <v>72921.3</v>
      </c>
    </row>
    <row r="30" ht="15" customHeight="1"/>
    <row r="31" ht="15" customHeight="1"/>
    <row r="32" ht="15" customHeight="1"/>
    <row r="33" ht="15" customHeight="1"/>
    <row r="34" ht="15" customHeight="1" thickBot="1"/>
    <row r="35" spans="1:3" ht="15" customHeight="1" thickBot="1">
      <c r="A35" s="254" t="s">
        <v>187</v>
      </c>
      <c r="B35" s="255"/>
      <c r="C35" s="256">
        <f>+C11-C29</f>
        <v>699.9999999999854</v>
      </c>
    </row>
    <row r="36" ht="15" customHeight="1"/>
    <row r="37" ht="13.5" customHeight="1"/>
    <row r="38" spans="7:11" ht="12.75" customHeight="1">
      <c r="G38" s="257"/>
      <c r="H38" s="257"/>
      <c r="I38" s="258"/>
      <c r="J38" s="257"/>
      <c r="K38" s="257"/>
    </row>
  </sheetData>
  <sheetProtection/>
  <mergeCells count="2">
    <mergeCell ref="A1:B1"/>
    <mergeCell ref="A19:B19"/>
  </mergeCells>
  <printOptions/>
  <pageMargins left="0.35433070866141736" right="0.2362204724409449" top="1.062992125984252" bottom="0.4724409448818898" header="0.35433070866141736" footer="0.2362204724409449"/>
  <pageSetup horizontalDpi="600" verticalDpi="600" orientation="landscape" paperSize="9" scale="79" r:id="rId2"/>
  <headerFooter alignWithMargins="0">
    <oddHeader>&amp;C&amp;"Arial Black,Obyčejné"&amp;14Plnění příjmů a výdajů města Blovice za 3.Q. 2014 - graf</oddHeader>
    <oddFooter>&amp;Lvyvěšeno: 
sejmuto:&amp;Rsestavil Ing.Michal Hodek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H66" sqref="H66"/>
    </sheetView>
  </sheetViews>
  <sheetFormatPr defaultColWidth="8.8515625" defaultRowHeight="12.75"/>
  <cols>
    <col min="1" max="2" width="8.8515625" style="239" customWidth="1"/>
    <col min="3" max="3" width="3.8515625" style="239" customWidth="1"/>
    <col min="4" max="4" width="22.421875" style="239" customWidth="1"/>
    <col min="5" max="5" width="8.140625" style="239" customWidth="1"/>
    <col min="6" max="6" width="8.57421875" style="239" bestFit="1" customWidth="1"/>
    <col min="7" max="7" width="8.57421875" style="239" customWidth="1"/>
    <col min="8" max="8" width="8.57421875" style="239" bestFit="1" customWidth="1"/>
    <col min="9" max="9" width="5.57421875" style="239" customWidth="1"/>
    <col min="10" max="10" width="8.140625" style="239" customWidth="1"/>
    <col min="11" max="11" width="6.7109375" style="239" customWidth="1"/>
    <col min="12" max="12" width="3.8515625" style="239" customWidth="1"/>
    <col min="13" max="16384" width="8.8515625" style="239" customWidth="1"/>
  </cols>
  <sheetData>
    <row r="1" spans="1:10" ht="15.75">
      <c r="A1" s="451" t="s">
        <v>188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3.5" customHeight="1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</row>
    <row r="3" spans="1:10" ht="16.5" thickBot="1">
      <c r="A3" s="260" t="s">
        <v>189</v>
      </c>
      <c r="B3" s="261"/>
      <c r="C3" s="261"/>
      <c r="D3" s="262"/>
      <c r="E3" s="455" t="s">
        <v>190</v>
      </c>
      <c r="F3" s="456"/>
      <c r="G3" s="447" t="s">
        <v>278</v>
      </c>
      <c r="H3" s="448"/>
      <c r="I3" s="457" t="s">
        <v>191</v>
      </c>
      <c r="J3" s="454"/>
    </row>
    <row r="4" spans="1:10" ht="13.5" thickBot="1">
      <c r="A4" s="263" t="s">
        <v>192</v>
      </c>
      <c r="B4" s="264"/>
      <c r="C4" s="264"/>
      <c r="D4" s="264"/>
      <c r="E4" s="265"/>
      <c r="F4" s="266">
        <f>SUM(F5:F7)</f>
        <v>494324</v>
      </c>
      <c r="G4" s="267"/>
      <c r="H4" s="268">
        <f>SUM(H5:H7)</f>
        <v>516013</v>
      </c>
      <c r="I4" s="269"/>
      <c r="J4" s="270">
        <f aca="true" t="shared" si="0" ref="J4:J12">+H4/F4</f>
        <v>1.0438760812746295</v>
      </c>
    </row>
    <row r="5" spans="1:10" ht="12.75">
      <c r="A5" s="271" t="s">
        <v>193</v>
      </c>
      <c r="B5" s="272" t="s">
        <v>194</v>
      </c>
      <c r="C5" s="264"/>
      <c r="D5" s="273"/>
      <c r="E5" s="274"/>
      <c r="F5" s="275">
        <v>2473</v>
      </c>
      <c r="G5" s="276"/>
      <c r="H5" s="277">
        <v>2324</v>
      </c>
      <c r="I5" s="278"/>
      <c r="J5" s="279">
        <f t="shared" si="0"/>
        <v>0.9397492923574605</v>
      </c>
    </row>
    <row r="6" spans="1:10" ht="12.75">
      <c r="A6" s="280"/>
      <c r="B6" s="281" t="s">
        <v>195</v>
      </c>
      <c r="C6" s="248"/>
      <c r="D6" s="282"/>
      <c r="E6" s="274"/>
      <c r="F6" s="275">
        <v>491632</v>
      </c>
      <c r="G6" s="276"/>
      <c r="H6" s="277">
        <v>513472</v>
      </c>
      <c r="I6" s="278"/>
      <c r="J6" s="279">
        <f t="shared" si="0"/>
        <v>1.0444234712142415</v>
      </c>
    </row>
    <row r="7" spans="1:10" ht="13.5" thickBot="1">
      <c r="A7" s="283"/>
      <c r="B7" s="284" t="s">
        <v>196</v>
      </c>
      <c r="C7" s="285"/>
      <c r="D7" s="286"/>
      <c r="E7" s="287"/>
      <c r="F7" s="288">
        <v>219</v>
      </c>
      <c r="G7" s="289"/>
      <c r="H7" s="290">
        <v>217</v>
      </c>
      <c r="I7" s="291"/>
      <c r="J7" s="292">
        <f t="shared" si="0"/>
        <v>0.9908675799086758</v>
      </c>
    </row>
    <row r="8" spans="1:10" ht="13.5" thickBot="1">
      <c r="A8" s="263" t="s">
        <v>197</v>
      </c>
      <c r="B8" s="293"/>
      <c r="C8" s="264"/>
      <c r="D8" s="264"/>
      <c r="E8" s="265"/>
      <c r="F8" s="266">
        <f>SUM(F9:F11)</f>
        <v>28496</v>
      </c>
      <c r="G8" s="294"/>
      <c r="H8" s="295">
        <f>SUM(G9:H11)</f>
        <v>30626</v>
      </c>
      <c r="I8" s="269"/>
      <c r="J8" s="270">
        <f t="shared" si="0"/>
        <v>1.0747473329590118</v>
      </c>
    </row>
    <row r="9" spans="1:10" ht="12.75">
      <c r="A9" s="271" t="s">
        <v>193</v>
      </c>
      <c r="B9" s="272" t="s">
        <v>198</v>
      </c>
      <c r="C9" s="264"/>
      <c r="D9" s="273"/>
      <c r="E9" s="274"/>
      <c r="F9" s="275">
        <v>37</v>
      </c>
      <c r="G9" s="276"/>
      <c r="H9" s="277">
        <v>73</v>
      </c>
      <c r="I9" s="296"/>
      <c r="J9" s="279">
        <f t="shared" si="0"/>
        <v>1.972972972972973</v>
      </c>
    </row>
    <row r="10" spans="1:10" ht="12.75">
      <c r="A10" s="280"/>
      <c r="B10" s="281" t="s">
        <v>199</v>
      </c>
      <c r="C10" s="248"/>
      <c r="D10" s="282"/>
      <c r="E10" s="274"/>
      <c r="F10" s="275">
        <v>14411</v>
      </c>
      <c r="G10" s="276"/>
      <c r="H10" s="277">
        <v>20649</v>
      </c>
      <c r="I10" s="278"/>
      <c r="J10" s="279">
        <f t="shared" si="0"/>
        <v>1.4328637846089793</v>
      </c>
    </row>
    <row r="11" spans="1:10" ht="13.5" thickBot="1">
      <c r="A11" s="283"/>
      <c r="B11" s="284" t="s">
        <v>200</v>
      </c>
      <c r="C11" s="285"/>
      <c r="D11" s="286"/>
      <c r="E11" s="287"/>
      <c r="F11" s="288">
        <v>14048</v>
      </c>
      <c r="G11" s="276"/>
      <c r="H11" s="277">
        <v>9904</v>
      </c>
      <c r="I11" s="291"/>
      <c r="J11" s="292">
        <f t="shared" si="0"/>
        <v>0.7050113895216401</v>
      </c>
    </row>
    <row r="12" spans="1:10" ht="13.5" thickBot="1">
      <c r="A12" s="297" t="s">
        <v>201</v>
      </c>
      <c r="B12" s="287"/>
      <c r="C12" s="285"/>
      <c r="D12" s="286"/>
      <c r="E12" s="265"/>
      <c r="F12" s="298">
        <f>+F4+F8</f>
        <v>522820</v>
      </c>
      <c r="G12" s="299"/>
      <c r="H12" s="300">
        <f>+H4+H8</f>
        <v>546639</v>
      </c>
      <c r="I12" s="301"/>
      <c r="J12" s="302">
        <f t="shared" si="0"/>
        <v>1.04555870089132</v>
      </c>
    </row>
    <row r="13" spans="2:10" ht="13.5" thickBot="1">
      <c r="B13" s="303"/>
      <c r="E13" s="303"/>
      <c r="F13" s="303"/>
      <c r="I13" s="304"/>
      <c r="J13" s="304"/>
    </row>
    <row r="14" spans="1:10" ht="16.5" thickBot="1">
      <c r="A14" s="260" t="s">
        <v>202</v>
      </c>
      <c r="B14" s="305"/>
      <c r="C14" s="261"/>
      <c r="D14" s="262"/>
      <c r="E14" s="455" t="s">
        <v>190</v>
      </c>
      <c r="F14" s="456"/>
      <c r="G14" s="447" t="s">
        <v>278</v>
      </c>
      <c r="H14" s="448"/>
      <c r="I14" s="458" t="s">
        <v>191</v>
      </c>
      <c r="J14" s="459"/>
    </row>
    <row r="15" spans="1:10" ht="13.5" thickBot="1">
      <c r="A15" s="263" t="s">
        <v>203</v>
      </c>
      <c r="B15" s="293"/>
      <c r="C15" s="264"/>
      <c r="D15" s="273"/>
      <c r="E15" s="265"/>
      <c r="F15" s="266">
        <f>SUM(F16:F18)</f>
        <v>443561</v>
      </c>
      <c r="G15" s="306"/>
      <c r="H15" s="268">
        <f>SUM(H16:H18)</f>
        <v>466670</v>
      </c>
      <c r="I15" s="269"/>
      <c r="J15" s="270">
        <f aca="true" t="shared" si="1" ref="J15:J22">+H15/F15</f>
        <v>1.0520988094084016</v>
      </c>
    </row>
    <row r="16" spans="1:10" ht="12.75">
      <c r="A16" s="271" t="s">
        <v>193</v>
      </c>
      <c r="B16" s="272" t="s">
        <v>204</v>
      </c>
      <c r="C16" s="264"/>
      <c r="D16" s="273"/>
      <c r="E16" s="274"/>
      <c r="F16" s="275">
        <v>409016</v>
      </c>
      <c r="G16" s="307"/>
      <c r="H16" s="307">
        <v>423105</v>
      </c>
      <c r="I16" s="278"/>
      <c r="J16" s="279">
        <f t="shared" si="1"/>
        <v>1.0344460852387192</v>
      </c>
    </row>
    <row r="17" spans="1:10" ht="12.75">
      <c r="A17" s="280"/>
      <c r="B17" s="281" t="s">
        <v>205</v>
      </c>
      <c r="C17" s="248"/>
      <c r="D17" s="282"/>
      <c r="E17" s="274"/>
      <c r="F17" s="275">
        <v>351</v>
      </c>
      <c r="G17" s="307"/>
      <c r="H17" s="307">
        <v>296</v>
      </c>
      <c r="I17" s="278"/>
      <c r="J17" s="279">
        <f t="shared" si="1"/>
        <v>0.8433048433048433</v>
      </c>
    </row>
    <row r="18" spans="1:10" ht="13.5" thickBot="1">
      <c r="A18" s="283"/>
      <c r="B18" s="284" t="s">
        <v>206</v>
      </c>
      <c r="C18" s="285"/>
      <c r="D18" s="286"/>
      <c r="E18" s="287"/>
      <c r="F18" s="288">
        <v>34194</v>
      </c>
      <c r="G18" s="308"/>
      <c r="H18" s="308">
        <v>43269</v>
      </c>
      <c r="I18" s="278"/>
      <c r="J18" s="279">
        <f t="shared" si="1"/>
        <v>1.2653974381470434</v>
      </c>
    </row>
    <row r="19" spans="1:10" ht="13.5" thickBot="1">
      <c r="A19" s="309" t="s">
        <v>207</v>
      </c>
      <c r="B19" s="274"/>
      <c r="C19" s="248"/>
      <c r="D19" s="282"/>
      <c r="E19" s="265"/>
      <c r="F19" s="266">
        <f>SUM(E20:F21)</f>
        <v>79259</v>
      </c>
      <c r="G19" s="310"/>
      <c r="H19" s="310">
        <f>SUM(G20:H21)</f>
        <v>79969</v>
      </c>
      <c r="I19" s="269"/>
      <c r="J19" s="270">
        <f t="shared" si="1"/>
        <v>1.0089579732270153</v>
      </c>
    </row>
    <row r="20" spans="1:10" ht="12.75">
      <c r="A20" s="271" t="s">
        <v>193</v>
      </c>
      <c r="B20" s="272" t="s">
        <v>208</v>
      </c>
      <c r="C20" s="264"/>
      <c r="D20" s="273"/>
      <c r="E20" s="311"/>
      <c r="F20" s="275">
        <v>47020</v>
      </c>
      <c r="G20" s="312"/>
      <c r="H20" s="312">
        <v>57287</v>
      </c>
      <c r="I20" s="278"/>
      <c r="J20" s="279">
        <f t="shared" si="1"/>
        <v>1.2183538919608676</v>
      </c>
    </row>
    <row r="21" spans="1:10" ht="13.5" thickBot="1">
      <c r="A21" s="283"/>
      <c r="B21" s="284" t="s">
        <v>209</v>
      </c>
      <c r="C21" s="285"/>
      <c r="D21" s="286"/>
      <c r="E21" s="311"/>
      <c r="F21" s="275">
        <v>32239</v>
      </c>
      <c r="G21" s="312"/>
      <c r="H21" s="312">
        <v>22682</v>
      </c>
      <c r="I21" s="278"/>
      <c r="J21" s="279">
        <f t="shared" si="1"/>
        <v>0.7035578026613729</v>
      </c>
    </row>
    <row r="22" spans="1:10" ht="13.5" thickBot="1">
      <c r="A22" s="297" t="s">
        <v>210</v>
      </c>
      <c r="B22" s="285"/>
      <c r="C22" s="285"/>
      <c r="D22" s="286"/>
      <c r="E22" s="265"/>
      <c r="F22" s="313">
        <f>+F15+F19</f>
        <v>522820</v>
      </c>
      <c r="G22" s="314"/>
      <c r="H22" s="300">
        <f>+H15+H19</f>
        <v>546639</v>
      </c>
      <c r="I22" s="269"/>
      <c r="J22" s="302">
        <f t="shared" si="1"/>
        <v>1.04555870089132</v>
      </c>
    </row>
    <row r="23" ht="12.75">
      <c r="A23" s="303"/>
    </row>
    <row r="24" ht="6.75" customHeight="1">
      <c r="A24" s="303"/>
    </row>
    <row r="25" spans="1:10" ht="15.75">
      <c r="A25" s="451" t="s">
        <v>211</v>
      </c>
      <c r="B25" s="451"/>
      <c r="C25" s="451"/>
      <c r="D25" s="451"/>
      <c r="E25" s="451"/>
      <c r="F25" s="451"/>
      <c r="G25" s="451"/>
      <c r="H25" s="451"/>
      <c r="I25" s="451"/>
      <c r="J25" s="451"/>
    </row>
    <row r="26" spans="1:10" ht="13.5" customHeight="1" thickBo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</row>
    <row r="27" spans="1:10" ht="13.5" thickBot="1">
      <c r="A27" s="315" t="s">
        <v>212</v>
      </c>
      <c r="B27" s="316"/>
      <c r="C27" s="264"/>
      <c r="D27" s="264"/>
      <c r="E27" s="445" t="s">
        <v>213</v>
      </c>
      <c r="F27" s="446"/>
      <c r="G27" s="447" t="s">
        <v>278</v>
      </c>
      <c r="H27" s="448"/>
      <c r="I27" s="452" t="s">
        <v>191</v>
      </c>
      <c r="J27" s="450"/>
    </row>
    <row r="28" spans="1:10" ht="13.5" thickBot="1">
      <c r="A28" s="294" t="s">
        <v>214</v>
      </c>
      <c r="B28" s="310"/>
      <c r="C28" s="310"/>
      <c r="D28" s="310"/>
      <c r="E28" s="317"/>
      <c r="F28" s="318">
        <f>SUM(E29:F31)</f>
        <v>63444</v>
      </c>
      <c r="G28" s="319"/>
      <c r="H28" s="268">
        <f>SUM(G29:H31)</f>
        <v>48552</v>
      </c>
      <c r="I28" s="320"/>
      <c r="J28" s="321">
        <f aca="true" t="shared" si="2" ref="J28:J39">+H28/F28</f>
        <v>0.7652733118971061</v>
      </c>
    </row>
    <row r="29" spans="1:10" ht="12.75">
      <c r="A29" s="280" t="s">
        <v>193</v>
      </c>
      <c r="B29" s="274" t="s">
        <v>215</v>
      </c>
      <c r="C29" s="248"/>
      <c r="D29" s="248"/>
      <c r="E29" s="322"/>
      <c r="F29" s="323">
        <v>51829</v>
      </c>
      <c r="G29" s="324"/>
      <c r="H29" s="325">
        <v>41430</v>
      </c>
      <c r="I29" s="248"/>
      <c r="J29" s="326">
        <f t="shared" si="2"/>
        <v>0.7993594319782361</v>
      </c>
    </row>
    <row r="30" spans="1:10" ht="12.75">
      <c r="A30" s="280"/>
      <c r="B30" s="274" t="s">
        <v>216</v>
      </c>
      <c r="C30" s="248"/>
      <c r="D30" s="248"/>
      <c r="E30" s="322"/>
      <c r="F30" s="323">
        <v>1009</v>
      </c>
      <c r="G30" s="324"/>
      <c r="H30" s="325">
        <v>578</v>
      </c>
      <c r="I30" s="248"/>
      <c r="J30" s="326">
        <f t="shared" si="2"/>
        <v>0.5728444003964321</v>
      </c>
    </row>
    <row r="31" spans="1:10" ht="13.5" thickBot="1">
      <c r="A31" s="283"/>
      <c r="B31" s="284" t="s">
        <v>217</v>
      </c>
      <c r="C31" s="285"/>
      <c r="D31" s="285"/>
      <c r="E31" s="327"/>
      <c r="F31" s="328">
        <v>10606</v>
      </c>
      <c r="G31" s="329"/>
      <c r="H31" s="330">
        <v>6544</v>
      </c>
      <c r="I31" s="248"/>
      <c r="J31" s="326">
        <f t="shared" si="2"/>
        <v>0.6170092400528003</v>
      </c>
    </row>
    <row r="32" spans="1:10" ht="13.5" thickBot="1">
      <c r="A32" s="294" t="s">
        <v>218</v>
      </c>
      <c r="B32" s="310"/>
      <c r="C32" s="310"/>
      <c r="D32" s="310"/>
      <c r="E32" s="317"/>
      <c r="F32" s="318">
        <f>SUM(F33:F36)</f>
        <v>79202</v>
      </c>
      <c r="G32" s="319"/>
      <c r="H32" s="268">
        <f>SUM(H33:H36)</f>
        <v>57186</v>
      </c>
      <c r="I32" s="320"/>
      <c r="J32" s="321">
        <f t="shared" si="2"/>
        <v>0.7220272215348097</v>
      </c>
    </row>
    <row r="33" spans="1:10" ht="12.75">
      <c r="A33" s="311" t="s">
        <v>193</v>
      </c>
      <c r="B33" s="274" t="s">
        <v>219</v>
      </c>
      <c r="C33" s="307"/>
      <c r="D33" s="307"/>
      <c r="E33" s="322"/>
      <c r="F33" s="323">
        <v>16399</v>
      </c>
      <c r="G33" s="324"/>
      <c r="H33" s="325">
        <v>11639</v>
      </c>
      <c r="I33" s="248"/>
      <c r="J33" s="326">
        <f t="shared" si="2"/>
        <v>0.7097383986828465</v>
      </c>
    </row>
    <row r="34" spans="1:10" ht="12.75">
      <c r="A34" s="311"/>
      <c r="B34" s="274" t="s">
        <v>220</v>
      </c>
      <c r="C34" s="307"/>
      <c r="D34" s="307"/>
      <c r="E34" s="322"/>
      <c r="F34" s="323">
        <v>991</v>
      </c>
      <c r="G34" s="324"/>
      <c r="H34" s="325">
        <v>30</v>
      </c>
      <c r="I34" s="248"/>
      <c r="J34" s="326">
        <f t="shared" si="2"/>
        <v>0.030272452068617558</v>
      </c>
    </row>
    <row r="35" spans="1:10" ht="12.75">
      <c r="A35" s="311"/>
      <c r="B35" s="274" t="s">
        <v>221</v>
      </c>
      <c r="C35" s="307"/>
      <c r="D35" s="307"/>
      <c r="E35" s="322"/>
      <c r="F35" s="323">
        <v>15935</v>
      </c>
      <c r="G35" s="324"/>
      <c r="H35" s="325">
        <v>10074</v>
      </c>
      <c r="I35" s="248"/>
      <c r="J35" s="326">
        <f>+H35/F35</f>
        <v>0.6321932852212112</v>
      </c>
    </row>
    <row r="36" spans="1:10" ht="13.5" thickBot="1">
      <c r="A36" s="311"/>
      <c r="B36" s="274" t="s">
        <v>222</v>
      </c>
      <c r="C36" s="307"/>
      <c r="D36" s="307"/>
      <c r="E36" s="322"/>
      <c r="F36" s="323">
        <v>45877</v>
      </c>
      <c r="G36" s="324"/>
      <c r="H36" s="325">
        <v>35443</v>
      </c>
      <c r="I36" s="248"/>
      <c r="J36" s="326">
        <f t="shared" si="2"/>
        <v>0.7725657736992393</v>
      </c>
    </row>
    <row r="37" spans="1:10" ht="13.5" thickBot="1">
      <c r="A37" s="294" t="s">
        <v>223</v>
      </c>
      <c r="B37" s="294"/>
      <c r="C37" s="310"/>
      <c r="D37" s="310"/>
      <c r="E37" s="317"/>
      <c r="F37" s="313">
        <f>+F32-F28</f>
        <v>15758</v>
      </c>
      <c r="G37" s="319"/>
      <c r="H37" s="331">
        <f>+H32-H28</f>
        <v>8634</v>
      </c>
      <c r="I37" s="306"/>
      <c r="J37" s="321">
        <f t="shared" si="2"/>
        <v>0.5479121715953801</v>
      </c>
    </row>
    <row r="38" spans="1:10" ht="12.75">
      <c r="A38" s="311" t="s">
        <v>224</v>
      </c>
      <c r="B38" s="248"/>
      <c r="C38" s="248"/>
      <c r="D38" s="248"/>
      <c r="E38" s="311"/>
      <c r="F38" s="275">
        <v>1254</v>
      </c>
      <c r="G38" s="276"/>
      <c r="H38" s="277"/>
      <c r="I38" s="248"/>
      <c r="J38" s="332">
        <f t="shared" si="2"/>
        <v>0</v>
      </c>
    </row>
    <row r="39" spans="1:10" ht="13.5" thickBot="1">
      <c r="A39" s="333" t="s">
        <v>225</v>
      </c>
      <c r="B39" s="334"/>
      <c r="C39" s="334"/>
      <c r="D39" s="334"/>
      <c r="E39" s="335"/>
      <c r="F39" s="336">
        <f>+F37-F38</f>
        <v>14504</v>
      </c>
      <c r="G39" s="333"/>
      <c r="H39" s="337">
        <f>+H37-H38</f>
        <v>8634</v>
      </c>
      <c r="I39" s="334"/>
      <c r="J39" s="338">
        <f t="shared" si="2"/>
        <v>0.5952840595697738</v>
      </c>
    </row>
    <row r="40" spans="1:10" ht="12.75">
      <c r="A40" s="307"/>
      <c r="B40" s="248"/>
      <c r="C40" s="248"/>
      <c r="D40" s="248"/>
      <c r="E40" s="248"/>
      <c r="F40" s="274"/>
      <c r="G40" s="307"/>
      <c r="H40" s="307"/>
      <c r="I40" s="248"/>
      <c r="J40" s="339"/>
    </row>
    <row r="41" spans="1:10" ht="15.75">
      <c r="A41" s="451" t="s">
        <v>226</v>
      </c>
      <c r="B41" s="451"/>
      <c r="C41" s="451"/>
      <c r="D41" s="451"/>
      <c r="E41" s="451"/>
      <c r="F41" s="451"/>
      <c r="G41" s="451"/>
      <c r="H41" s="451"/>
      <c r="I41" s="451"/>
      <c r="J41" s="451"/>
    </row>
    <row r="42" spans="1:10" ht="13.5" customHeight="1" thickBot="1">
      <c r="A42" s="259"/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0" ht="13.5" thickBot="1">
      <c r="A43" s="315" t="s">
        <v>212</v>
      </c>
      <c r="B43" s="316"/>
      <c r="C43" s="264"/>
      <c r="D43" s="264"/>
      <c r="E43" s="445" t="s">
        <v>213</v>
      </c>
      <c r="F43" s="446"/>
      <c r="G43" s="447" t="s">
        <v>278</v>
      </c>
      <c r="H43" s="448"/>
      <c r="I43" s="453" t="s">
        <v>191</v>
      </c>
      <c r="J43" s="454"/>
    </row>
    <row r="44" spans="1:10" ht="13.5" thickBot="1">
      <c r="A44" s="294" t="s">
        <v>214</v>
      </c>
      <c r="B44" s="310"/>
      <c r="C44" s="310"/>
      <c r="D44" s="310"/>
      <c r="E44" s="317"/>
      <c r="F44" s="318">
        <f>+F45+F51+F52</f>
        <v>4811</v>
      </c>
      <c r="G44" s="318"/>
      <c r="H44" s="268">
        <f>+H45+H51+H52</f>
        <v>5117</v>
      </c>
      <c r="I44" s="340"/>
      <c r="J44" s="321">
        <f>+H44/F44</f>
        <v>1.0636042402826855</v>
      </c>
    </row>
    <row r="45" spans="1:10" ht="12.75">
      <c r="A45" s="280" t="s">
        <v>193</v>
      </c>
      <c r="B45" s="274" t="s">
        <v>215</v>
      </c>
      <c r="C45" s="248"/>
      <c r="D45" s="248"/>
      <c r="E45" s="322"/>
      <c r="F45" s="323">
        <f>SUM(F46:F50)</f>
        <v>4811</v>
      </c>
      <c r="G45" s="324"/>
      <c r="H45" s="325">
        <f>SUM(H46:H50)</f>
        <v>5117</v>
      </c>
      <c r="I45" s="316"/>
      <c r="J45" s="341">
        <f aca="true" t="shared" si="3" ref="J45:J50">+H45/F45</f>
        <v>1.0636042402826855</v>
      </c>
    </row>
    <row r="46" spans="1:10" ht="12.75">
      <c r="A46" s="280"/>
      <c r="B46" s="303" t="s">
        <v>193</v>
      </c>
      <c r="C46" s="274" t="s">
        <v>227</v>
      </c>
      <c r="D46" s="248"/>
      <c r="E46" s="322"/>
      <c r="F46" s="323">
        <v>133</v>
      </c>
      <c r="G46" s="324"/>
      <c r="H46" s="325">
        <f>33+61</f>
        <v>94</v>
      </c>
      <c r="I46" s="280"/>
      <c r="J46" s="326">
        <f t="shared" si="3"/>
        <v>0.706766917293233</v>
      </c>
    </row>
    <row r="47" spans="1:10" ht="12.75">
      <c r="A47" s="280"/>
      <c r="C47" s="274" t="s">
        <v>228</v>
      </c>
      <c r="D47" s="248"/>
      <c r="E47" s="322"/>
      <c r="F47" s="323">
        <v>1714</v>
      </c>
      <c r="G47" s="324"/>
      <c r="H47" s="325">
        <v>2988</v>
      </c>
      <c r="I47" s="280"/>
      <c r="J47" s="326">
        <f t="shared" si="3"/>
        <v>1.7432905484247374</v>
      </c>
    </row>
    <row r="48" spans="1:10" ht="12.75">
      <c r="A48" s="280"/>
      <c r="B48" s="303"/>
      <c r="C48" s="274" t="s">
        <v>229</v>
      </c>
      <c r="D48" s="248"/>
      <c r="E48" s="322"/>
      <c r="F48" s="323">
        <v>1006</v>
      </c>
      <c r="G48" s="324"/>
      <c r="H48" s="325">
        <v>488</v>
      </c>
      <c r="I48" s="280"/>
      <c r="J48" s="326">
        <f t="shared" si="3"/>
        <v>0.4850894632206759</v>
      </c>
    </row>
    <row r="49" spans="1:10" ht="12.75">
      <c r="A49" s="280"/>
      <c r="B49" s="303"/>
      <c r="C49" s="274" t="s">
        <v>230</v>
      </c>
      <c r="D49" s="248"/>
      <c r="E49" s="322"/>
      <c r="F49" s="323">
        <v>2043</v>
      </c>
      <c r="G49" s="324"/>
      <c r="H49" s="325">
        <v>1527</v>
      </c>
      <c r="I49" s="280"/>
      <c r="J49" s="326">
        <f t="shared" si="3"/>
        <v>0.7474302496328928</v>
      </c>
    </row>
    <row r="50" spans="1:10" ht="12.75">
      <c r="A50" s="280"/>
      <c r="B50" s="303"/>
      <c r="C50" s="274" t="s">
        <v>231</v>
      </c>
      <c r="D50" s="248"/>
      <c r="E50" s="322"/>
      <c r="F50" s="323">
        <v>-85</v>
      </c>
      <c r="G50" s="324"/>
      <c r="H50" s="325">
        <f>9+11</f>
        <v>20</v>
      </c>
      <c r="I50" s="280"/>
      <c r="J50" s="326">
        <f t="shared" si="3"/>
        <v>-0.23529411764705882</v>
      </c>
    </row>
    <row r="51" spans="1:10" ht="12.75">
      <c r="A51" s="280"/>
      <c r="B51" s="274" t="s">
        <v>216</v>
      </c>
      <c r="C51" s="248"/>
      <c r="D51" s="248"/>
      <c r="E51" s="322"/>
      <c r="F51" s="323">
        <v>0</v>
      </c>
      <c r="G51" s="324"/>
      <c r="H51" s="325">
        <v>0</v>
      </c>
      <c r="I51" s="280"/>
      <c r="J51" s="326">
        <v>0</v>
      </c>
    </row>
    <row r="52" spans="1:10" ht="13.5" thickBot="1">
      <c r="A52" s="283"/>
      <c r="B52" s="284" t="s">
        <v>217</v>
      </c>
      <c r="C52" s="285"/>
      <c r="D52" s="285"/>
      <c r="E52" s="327"/>
      <c r="F52" s="328">
        <v>0</v>
      </c>
      <c r="G52" s="329"/>
      <c r="H52" s="330">
        <v>0</v>
      </c>
      <c r="I52" s="283"/>
      <c r="J52" s="342">
        <v>0</v>
      </c>
    </row>
    <row r="53" spans="1:10" ht="13.5" thickBot="1">
      <c r="A53" s="294" t="s">
        <v>218</v>
      </c>
      <c r="B53" s="310"/>
      <c r="C53" s="310"/>
      <c r="D53" s="310"/>
      <c r="E53" s="317"/>
      <c r="F53" s="318">
        <f>SUM(F54:F57)</f>
        <v>6852</v>
      </c>
      <c r="G53" s="319"/>
      <c r="H53" s="268">
        <f>SUM(H54:H57)</f>
        <v>5558</v>
      </c>
      <c r="I53" s="280"/>
      <c r="J53" s="343">
        <f aca="true" t="shared" si="4" ref="J53:J60">+H53/F53</f>
        <v>0.811150029188558</v>
      </c>
    </row>
    <row r="54" spans="1:10" ht="12.75">
      <c r="A54" s="311" t="s">
        <v>193</v>
      </c>
      <c r="B54" s="274" t="s">
        <v>232</v>
      </c>
      <c r="C54" s="307"/>
      <c r="D54" s="307"/>
      <c r="E54" s="344"/>
      <c r="F54" s="344">
        <v>5203</v>
      </c>
      <c r="G54" s="345"/>
      <c r="H54" s="345">
        <v>4292</v>
      </c>
      <c r="I54" s="316"/>
      <c r="J54" s="341">
        <f t="shared" si="4"/>
        <v>0.8249087065154719</v>
      </c>
    </row>
    <row r="55" spans="1:10" ht="12.75">
      <c r="A55" s="311"/>
      <c r="B55" s="274" t="s">
        <v>220</v>
      </c>
      <c r="C55" s="307"/>
      <c r="D55" s="307"/>
      <c r="E55" s="346"/>
      <c r="F55" s="346">
        <v>11</v>
      </c>
      <c r="G55" s="324"/>
      <c r="H55" s="324">
        <v>5</v>
      </c>
      <c r="I55" s="280"/>
      <c r="J55" s="326">
        <f t="shared" si="4"/>
        <v>0.45454545454545453</v>
      </c>
    </row>
    <row r="56" spans="1:10" ht="12.75">
      <c r="A56" s="311"/>
      <c r="B56" s="274" t="s">
        <v>233</v>
      </c>
      <c r="C56" s="307"/>
      <c r="D56" s="307"/>
      <c r="E56" s="346"/>
      <c r="F56" s="346">
        <v>1087</v>
      </c>
      <c r="G56" s="324"/>
      <c r="H56" s="324">
        <v>815</v>
      </c>
      <c r="I56" s="280"/>
      <c r="J56" s="326">
        <f t="shared" si="4"/>
        <v>0.749770009199632</v>
      </c>
    </row>
    <row r="57" spans="1:10" ht="13.5" thickBot="1">
      <c r="A57" s="311"/>
      <c r="B57" s="274" t="s">
        <v>222</v>
      </c>
      <c r="C57" s="307"/>
      <c r="D57" s="307"/>
      <c r="E57" s="346"/>
      <c r="F57" s="346">
        <v>551</v>
      </c>
      <c r="G57" s="329"/>
      <c r="H57" s="324">
        <v>446</v>
      </c>
      <c r="I57" s="280"/>
      <c r="J57" s="326">
        <f t="shared" si="4"/>
        <v>0.809437386569873</v>
      </c>
    </row>
    <row r="58" spans="1:10" ht="13.5" thickBot="1">
      <c r="A58" s="294" t="s">
        <v>223</v>
      </c>
      <c r="B58" s="294"/>
      <c r="C58" s="310"/>
      <c r="D58" s="310"/>
      <c r="E58" s="347"/>
      <c r="F58" s="348">
        <f>+F53-F44</f>
        <v>2041</v>
      </c>
      <c r="G58" s="349"/>
      <c r="H58" s="349">
        <f>+H53-H44</f>
        <v>441</v>
      </c>
      <c r="I58" s="267"/>
      <c r="J58" s="321">
        <f t="shared" si="4"/>
        <v>0.21607055365017147</v>
      </c>
    </row>
    <row r="59" spans="1:10" ht="12.75">
      <c r="A59" s="303" t="s">
        <v>224</v>
      </c>
      <c r="E59" s="311"/>
      <c r="F59" s="275">
        <v>446</v>
      </c>
      <c r="G59" s="276"/>
      <c r="H59" s="277"/>
      <c r="I59" s="280"/>
      <c r="J59" s="332">
        <f t="shared" si="4"/>
        <v>0</v>
      </c>
    </row>
    <row r="60" spans="1:10" ht="13.5" thickBot="1">
      <c r="A60" s="350" t="s">
        <v>225</v>
      </c>
      <c r="B60" s="351"/>
      <c r="C60" s="351"/>
      <c r="D60" s="351"/>
      <c r="E60" s="335"/>
      <c r="F60" s="336">
        <f>+F58-F59</f>
        <v>1595</v>
      </c>
      <c r="G60" s="333"/>
      <c r="H60" s="337">
        <f>+H58-H59</f>
        <v>441</v>
      </c>
      <c r="I60" s="352"/>
      <c r="J60" s="353">
        <f t="shared" si="4"/>
        <v>0.2764890282131661</v>
      </c>
    </row>
    <row r="61" ht="12.75">
      <c r="A61" s="303"/>
    </row>
    <row r="62" spans="1:10" ht="15.75">
      <c r="A62" s="444" t="s">
        <v>234</v>
      </c>
      <c r="B62" s="444"/>
      <c r="C62" s="444"/>
      <c r="D62" s="444"/>
      <c r="E62" s="444"/>
      <c r="F62" s="444"/>
      <c r="G62" s="444"/>
      <c r="H62" s="444"/>
      <c r="I62" s="444"/>
      <c r="J62" s="444"/>
    </row>
    <row r="63" ht="13.5" thickBot="1"/>
    <row r="64" spans="1:10" ht="13.5" thickBot="1">
      <c r="A64" s="294" t="s">
        <v>235</v>
      </c>
      <c r="B64" s="310"/>
      <c r="C64" s="310"/>
      <c r="D64" s="310"/>
      <c r="E64" s="445" t="s">
        <v>213</v>
      </c>
      <c r="F64" s="446"/>
      <c r="G64" s="447" t="s">
        <v>278</v>
      </c>
      <c r="H64" s="448"/>
      <c r="I64" s="449" t="s">
        <v>191</v>
      </c>
      <c r="J64" s="450"/>
    </row>
    <row r="65" spans="1:10" ht="12.75">
      <c r="A65" s="354" t="s">
        <v>236</v>
      </c>
      <c r="B65" s="264"/>
      <c r="C65" s="264"/>
      <c r="D65" s="264"/>
      <c r="E65" s="355"/>
      <c r="F65" s="356">
        <v>87342</v>
      </c>
      <c r="G65" s="357"/>
      <c r="H65" s="358">
        <v>73621</v>
      </c>
      <c r="I65" s="316"/>
      <c r="J65" s="341">
        <f>+H65/F65</f>
        <v>0.8429049025669209</v>
      </c>
    </row>
    <row r="66" spans="1:10" ht="13.5" thickBot="1">
      <c r="A66" s="276" t="s">
        <v>237</v>
      </c>
      <c r="B66" s="248"/>
      <c r="C66" s="248"/>
      <c r="D66" s="248"/>
      <c r="E66" s="359"/>
      <c r="F66" s="360">
        <v>7351</v>
      </c>
      <c r="G66" s="361"/>
      <c r="H66" s="362">
        <v>15692</v>
      </c>
      <c r="I66" s="283"/>
      <c r="J66" s="342">
        <f>+H66/F66</f>
        <v>2.1346755543463476</v>
      </c>
    </row>
    <row r="67" spans="1:10" ht="13.5" thickBot="1">
      <c r="A67" s="294" t="s">
        <v>238</v>
      </c>
      <c r="B67" s="320"/>
      <c r="C67" s="320"/>
      <c r="D67" s="320"/>
      <c r="E67" s="363"/>
      <c r="F67" s="364">
        <f>+F66/F65*100</f>
        <v>8.416340363170068</v>
      </c>
      <c r="G67" s="365"/>
      <c r="H67" s="366">
        <f>+H66/H65*100</f>
        <v>21.31457057089689</v>
      </c>
      <c r="I67" s="340"/>
      <c r="J67" s="321">
        <f>+H67/F67</f>
        <v>2.5325224089284126</v>
      </c>
    </row>
    <row r="68" spans="1:8" ht="14.25" customHeight="1" thickBot="1">
      <c r="A68" s="248"/>
      <c r="B68" s="248"/>
      <c r="C68" s="248"/>
      <c r="D68" s="248"/>
      <c r="E68" s="248"/>
      <c r="F68" s="248"/>
      <c r="G68" s="248"/>
      <c r="H68" s="367"/>
    </row>
    <row r="69" spans="1:10" ht="13.5" thickBot="1">
      <c r="A69" s="294" t="s">
        <v>239</v>
      </c>
      <c r="B69" s="310"/>
      <c r="C69" s="310"/>
      <c r="D69" s="310"/>
      <c r="E69" s="445" t="s">
        <v>213</v>
      </c>
      <c r="F69" s="446"/>
      <c r="G69" s="447" t="s">
        <v>278</v>
      </c>
      <c r="H69" s="448"/>
      <c r="I69" s="449" t="s">
        <v>191</v>
      </c>
      <c r="J69" s="450"/>
    </row>
    <row r="70" spans="1:10" ht="12.75">
      <c r="A70" s="354" t="s">
        <v>240</v>
      </c>
      <c r="B70" s="264"/>
      <c r="C70" s="264"/>
      <c r="D70" s="264"/>
      <c r="E70" s="355"/>
      <c r="F70" s="356">
        <v>45616</v>
      </c>
      <c r="G70" s="357"/>
      <c r="H70" s="358">
        <f>40520+573</f>
        <v>41093</v>
      </c>
      <c r="I70" s="316"/>
      <c r="J70" s="341">
        <f>+H70/F70</f>
        <v>0.9008461943177832</v>
      </c>
    </row>
    <row r="71" spans="1:10" ht="13.5" thickBot="1">
      <c r="A71" s="276" t="s">
        <v>241</v>
      </c>
      <c r="B71" s="248"/>
      <c r="C71" s="248"/>
      <c r="D71" s="248"/>
      <c r="E71" s="359"/>
      <c r="F71" s="360">
        <v>3000</v>
      </c>
      <c r="G71" s="361"/>
      <c r="H71" s="362">
        <v>3021</v>
      </c>
      <c r="I71" s="283"/>
      <c r="J71" s="342">
        <f>+H71/F71</f>
        <v>1.007</v>
      </c>
    </row>
    <row r="72" spans="1:10" ht="13.5" thickBot="1">
      <c r="A72" s="294" t="s">
        <v>8</v>
      </c>
      <c r="B72" s="320"/>
      <c r="C72" s="320"/>
      <c r="D72" s="320"/>
      <c r="E72" s="363"/>
      <c r="F72" s="368">
        <f>SUM(F70:F71)</f>
        <v>48616</v>
      </c>
      <c r="G72" s="369"/>
      <c r="H72" s="368">
        <f>SUM(H70:H71)</f>
        <v>44114</v>
      </c>
      <c r="I72" s="340"/>
      <c r="J72" s="321">
        <f>+H72/F72</f>
        <v>0.9073967418133948</v>
      </c>
    </row>
  </sheetData>
  <sheetProtection/>
  <mergeCells count="22">
    <mergeCell ref="A1:J1"/>
    <mergeCell ref="E3:F3"/>
    <mergeCell ref="G3:H3"/>
    <mergeCell ref="I3:J3"/>
    <mergeCell ref="E14:F14"/>
    <mergeCell ref="G14:H14"/>
    <mergeCell ref="I14:J14"/>
    <mergeCell ref="A25:J25"/>
    <mergeCell ref="E27:F27"/>
    <mergeCell ref="G27:H27"/>
    <mergeCell ref="I27:J27"/>
    <mergeCell ref="A41:J41"/>
    <mergeCell ref="E43:F43"/>
    <mergeCell ref="G43:H43"/>
    <mergeCell ref="I43:J43"/>
    <mergeCell ref="A62:J62"/>
    <mergeCell ref="E64:F64"/>
    <mergeCell ref="G64:H64"/>
    <mergeCell ref="I64:J64"/>
    <mergeCell ref="E69:F69"/>
    <mergeCell ref="G69:H69"/>
    <mergeCell ref="I69:J69"/>
  </mergeCells>
  <printOptions/>
  <pageMargins left="0.9448818897637796" right="0.7086614173228347" top="0.5118110236220472" bottom="0.5118110236220472" header="0.31496062992125984" footer="0.2755905511811024"/>
  <pageSetup horizontalDpi="600" verticalDpi="600" orientation="portrait" paperSize="9" scale="82" r:id="rId1"/>
  <headerFooter alignWithMargins="0">
    <oddFooter>&amp;Lvyvěšeno: 
sejmuto:&amp;Rsestavil: Ing.Hodek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2.140625" style="0" customWidth="1"/>
    <col min="2" max="2" width="5.28125" style="0" customWidth="1"/>
    <col min="3" max="3" width="5.421875" style="0" customWidth="1"/>
    <col min="4" max="4" width="12.7109375" style="634" customWidth="1"/>
    <col min="5" max="5" width="14.57421875" style="634" customWidth="1"/>
    <col min="6" max="6" width="1.1484375" style="634" customWidth="1"/>
    <col min="7" max="7" width="15.140625" style="116" customWidth="1"/>
    <col min="8" max="8" width="7.28125" style="0" customWidth="1"/>
  </cols>
  <sheetData>
    <row r="1" spans="1:8" ht="13.5" thickBot="1">
      <c r="A1" s="460" t="s">
        <v>279</v>
      </c>
      <c r="B1" s="461" t="s">
        <v>280</v>
      </c>
      <c r="C1" s="461" t="s">
        <v>281</v>
      </c>
      <c r="D1" s="462" t="s">
        <v>282</v>
      </c>
      <c r="E1" s="462" t="s">
        <v>283</v>
      </c>
      <c r="F1" s="462" t="s">
        <v>284</v>
      </c>
      <c r="G1" s="463" t="s">
        <v>165</v>
      </c>
      <c r="H1" s="464" t="s">
        <v>167</v>
      </c>
    </row>
    <row r="2" spans="1:7" ht="12.75">
      <c r="A2" s="465" t="s">
        <v>285</v>
      </c>
      <c r="B2" s="466"/>
      <c r="C2" s="466"/>
      <c r="D2" s="467"/>
      <c r="E2" s="467"/>
      <c r="F2" s="467"/>
      <c r="G2" s="468"/>
    </row>
    <row r="3" spans="1:8" ht="12.75">
      <c r="A3" s="469" t="s">
        <v>286</v>
      </c>
      <c r="B3" s="470">
        <v>6112</v>
      </c>
      <c r="C3" s="470">
        <v>5023</v>
      </c>
      <c r="D3" s="471">
        <v>1263</v>
      </c>
      <c r="E3" s="471">
        <v>1263</v>
      </c>
      <c r="F3" s="471">
        <v>626</v>
      </c>
      <c r="G3" s="472">
        <v>942</v>
      </c>
      <c r="H3" s="473">
        <f>+G3/E3</f>
        <v>0.7458432304038005</v>
      </c>
    </row>
    <row r="4" spans="1:8" ht="12.75">
      <c r="A4" s="474" t="s">
        <v>287</v>
      </c>
      <c r="B4" s="475">
        <v>6112</v>
      </c>
      <c r="C4" s="475">
        <v>5031</v>
      </c>
      <c r="D4" s="476">
        <v>263</v>
      </c>
      <c r="E4" s="476">
        <v>263</v>
      </c>
      <c r="F4" s="476">
        <v>134</v>
      </c>
      <c r="G4" s="477">
        <v>201</v>
      </c>
      <c r="H4" s="473">
        <f aca="true" t="shared" si="0" ref="H4:H67">+G4/E4</f>
        <v>0.7642585551330798</v>
      </c>
    </row>
    <row r="5" spans="1:8" ht="12.75">
      <c r="A5" s="474" t="s">
        <v>288</v>
      </c>
      <c r="B5" s="475">
        <v>6112</v>
      </c>
      <c r="C5" s="475">
        <v>5032</v>
      </c>
      <c r="D5" s="476">
        <v>114</v>
      </c>
      <c r="E5" s="476">
        <v>114</v>
      </c>
      <c r="F5" s="476">
        <v>57</v>
      </c>
      <c r="G5" s="477">
        <v>86</v>
      </c>
      <c r="H5" s="473">
        <f t="shared" si="0"/>
        <v>0.7543859649122807</v>
      </c>
    </row>
    <row r="6" spans="1:8" ht="13.5" thickBot="1">
      <c r="A6" s="478" t="s">
        <v>289</v>
      </c>
      <c r="B6" s="479">
        <v>6112</v>
      </c>
      <c r="C6" s="480">
        <v>5179</v>
      </c>
      <c r="D6" s="481"/>
      <c r="E6" s="481"/>
      <c r="F6" s="481">
        <v>2</v>
      </c>
      <c r="G6" s="482">
        <v>5</v>
      </c>
      <c r="H6" s="473"/>
    </row>
    <row r="7" spans="1:9" ht="13.5" thickBot="1">
      <c r="A7" s="483" t="s">
        <v>290</v>
      </c>
      <c r="B7" s="484"/>
      <c r="C7" s="484"/>
      <c r="D7" s="485">
        <f>SUM(D3:D5)</f>
        <v>1640</v>
      </c>
      <c r="E7" s="486">
        <f>SUM(E3:E5)</f>
        <v>1640</v>
      </c>
      <c r="F7" s="485">
        <f>SUM(F3:F6)</f>
        <v>819</v>
      </c>
      <c r="G7" s="486">
        <f>SUM(G3:G6)</f>
        <v>1234</v>
      </c>
      <c r="H7" s="487">
        <f t="shared" si="0"/>
        <v>0.7524390243902439</v>
      </c>
      <c r="I7" t="s">
        <v>291</v>
      </c>
    </row>
    <row r="8" spans="1:8" ht="13.5" thickBot="1">
      <c r="A8" s="488"/>
      <c r="B8" s="488"/>
      <c r="C8" s="488"/>
      <c r="D8" s="489"/>
      <c r="E8" s="489"/>
      <c r="F8" s="489"/>
      <c r="G8" s="490"/>
      <c r="H8" s="473"/>
    </row>
    <row r="9" spans="1:8" ht="12.75">
      <c r="A9" s="465" t="s">
        <v>292</v>
      </c>
      <c r="B9" s="466"/>
      <c r="C9" s="466"/>
      <c r="D9" s="467"/>
      <c r="E9" s="467"/>
      <c r="F9" s="467"/>
      <c r="G9" s="468"/>
      <c r="H9" s="473"/>
    </row>
    <row r="10" spans="1:8" ht="12.75">
      <c r="A10" s="469" t="s">
        <v>286</v>
      </c>
      <c r="B10" s="470">
        <v>6117</v>
      </c>
      <c r="C10" s="470">
        <v>5011</v>
      </c>
      <c r="D10" s="471"/>
      <c r="E10" s="472">
        <v>3</v>
      </c>
      <c r="F10" s="471">
        <v>3</v>
      </c>
      <c r="G10" s="472">
        <v>3</v>
      </c>
      <c r="H10" s="473">
        <f t="shared" si="0"/>
        <v>1</v>
      </c>
    </row>
    <row r="11" spans="1:8" ht="12.75">
      <c r="A11" s="474" t="s">
        <v>287</v>
      </c>
      <c r="B11" s="475">
        <v>6117</v>
      </c>
      <c r="C11" s="475">
        <v>5021</v>
      </c>
      <c r="D11" s="476"/>
      <c r="E11" s="477">
        <v>135.5</v>
      </c>
      <c r="F11" s="476">
        <v>89</v>
      </c>
      <c r="G11" s="477">
        <v>89</v>
      </c>
      <c r="H11" s="473">
        <f t="shared" si="0"/>
        <v>0.6568265682656826</v>
      </c>
    </row>
    <row r="12" spans="1:8" ht="12.75">
      <c r="A12" s="474" t="s">
        <v>288</v>
      </c>
      <c r="B12" s="475">
        <v>6117</v>
      </c>
      <c r="C12" s="475">
        <v>5031</v>
      </c>
      <c r="D12" s="476"/>
      <c r="E12" s="477"/>
      <c r="F12" s="476">
        <v>1</v>
      </c>
      <c r="G12" s="477">
        <v>1</v>
      </c>
      <c r="H12" s="473"/>
    </row>
    <row r="13" spans="1:8" ht="12.75">
      <c r="A13" s="491" t="s">
        <v>293</v>
      </c>
      <c r="B13" s="475">
        <v>6117</v>
      </c>
      <c r="C13" s="492">
        <v>5139</v>
      </c>
      <c r="D13" s="476"/>
      <c r="E13" s="477">
        <v>6</v>
      </c>
      <c r="F13" s="476">
        <v>5</v>
      </c>
      <c r="G13" s="477">
        <v>5</v>
      </c>
      <c r="H13" s="473">
        <f t="shared" si="0"/>
        <v>0.8333333333333334</v>
      </c>
    </row>
    <row r="14" spans="1:8" ht="12.75">
      <c r="A14" s="491" t="s">
        <v>294</v>
      </c>
      <c r="B14" s="475">
        <v>6117</v>
      </c>
      <c r="C14" s="492">
        <v>5155</v>
      </c>
      <c r="D14" s="476"/>
      <c r="E14" s="477"/>
      <c r="F14" s="476">
        <v>1</v>
      </c>
      <c r="G14" s="477">
        <v>1</v>
      </c>
      <c r="H14" s="473"/>
    </row>
    <row r="15" spans="1:8" ht="12.75">
      <c r="A15" s="491" t="s">
        <v>264</v>
      </c>
      <c r="B15" s="475">
        <v>6117</v>
      </c>
      <c r="C15" s="492">
        <v>5156</v>
      </c>
      <c r="D15" s="476"/>
      <c r="E15" s="477"/>
      <c r="F15" s="476">
        <v>2</v>
      </c>
      <c r="G15" s="477">
        <v>2</v>
      </c>
      <c r="H15" s="473"/>
    </row>
    <row r="16" spans="1:8" ht="12.75">
      <c r="A16" s="493" t="s">
        <v>295</v>
      </c>
      <c r="B16" s="494">
        <v>6117</v>
      </c>
      <c r="C16" s="495">
        <v>5162</v>
      </c>
      <c r="D16" s="496"/>
      <c r="E16" s="497"/>
      <c r="F16" s="496">
        <v>2</v>
      </c>
      <c r="G16" s="497">
        <v>2</v>
      </c>
      <c r="H16" s="473"/>
    </row>
    <row r="17" spans="1:8" ht="12.75">
      <c r="A17" s="491" t="s">
        <v>296</v>
      </c>
      <c r="B17" s="475">
        <v>6117</v>
      </c>
      <c r="C17" s="492">
        <v>5164</v>
      </c>
      <c r="D17" s="476"/>
      <c r="E17" s="477">
        <v>5</v>
      </c>
      <c r="F17" s="476">
        <v>4</v>
      </c>
      <c r="G17" s="477">
        <v>4</v>
      </c>
      <c r="H17" s="473">
        <f t="shared" si="0"/>
        <v>0.8</v>
      </c>
    </row>
    <row r="18" spans="1:8" ht="12.75">
      <c r="A18" s="491" t="s">
        <v>295</v>
      </c>
      <c r="B18" s="475">
        <v>6117</v>
      </c>
      <c r="C18" s="492">
        <v>5169</v>
      </c>
      <c r="D18" s="476"/>
      <c r="E18" s="477"/>
      <c r="F18" s="476">
        <v>2</v>
      </c>
      <c r="G18" s="477">
        <v>2</v>
      </c>
      <c r="H18" s="473"/>
    </row>
    <row r="19" spans="1:8" ht="13.5" thickBot="1">
      <c r="A19" s="478" t="s">
        <v>271</v>
      </c>
      <c r="B19" s="498">
        <v>6117</v>
      </c>
      <c r="C19" s="480">
        <v>5175</v>
      </c>
      <c r="D19" s="481"/>
      <c r="E19" s="482">
        <v>10</v>
      </c>
      <c r="F19" s="481">
        <v>7</v>
      </c>
      <c r="G19" s="482">
        <v>7</v>
      </c>
      <c r="H19" s="473">
        <f t="shared" si="0"/>
        <v>0.7</v>
      </c>
    </row>
    <row r="20" spans="1:8" ht="13.5" thickBot="1">
      <c r="A20" s="483" t="s">
        <v>297</v>
      </c>
      <c r="B20" s="484"/>
      <c r="C20" s="484"/>
      <c r="D20" s="485">
        <f>SUM(D10:D12)</f>
        <v>0</v>
      </c>
      <c r="E20" s="486">
        <f>SUM(E10:E19)</f>
        <v>159.5</v>
      </c>
      <c r="F20" s="485">
        <f>SUM(F10:F19)</f>
        <v>116</v>
      </c>
      <c r="G20" s="486">
        <f>SUM(G10:G19)</f>
        <v>116</v>
      </c>
      <c r="H20" s="487">
        <f t="shared" si="0"/>
        <v>0.7272727272727273</v>
      </c>
    </row>
    <row r="21" spans="1:8" ht="13.5" thickBot="1">
      <c r="A21" s="488"/>
      <c r="B21" s="488"/>
      <c r="C21" s="488"/>
      <c r="D21" s="489"/>
      <c r="E21" s="489"/>
      <c r="F21" s="489"/>
      <c r="G21" s="490"/>
      <c r="H21" s="473"/>
    </row>
    <row r="22" spans="1:8" ht="12.75">
      <c r="A22" s="499" t="s">
        <v>298</v>
      </c>
      <c r="B22" s="500"/>
      <c r="C22" s="500"/>
      <c r="D22" s="501"/>
      <c r="E22" s="501"/>
      <c r="F22" s="501"/>
      <c r="G22" s="502"/>
      <c r="H22" s="473"/>
    </row>
    <row r="23" spans="1:8" ht="12.75">
      <c r="A23" s="474" t="s">
        <v>299</v>
      </c>
      <c r="B23" s="475">
        <v>6171</v>
      </c>
      <c r="C23" s="475">
        <v>5011</v>
      </c>
      <c r="D23" s="503">
        <v>12340</v>
      </c>
      <c r="E23" s="504">
        <v>12295</v>
      </c>
      <c r="F23" s="503">
        <v>6141</v>
      </c>
      <c r="G23" s="504">
        <f>9590-34-472</f>
        <v>9084</v>
      </c>
      <c r="H23" s="473">
        <f t="shared" si="0"/>
        <v>0.7388369255795039</v>
      </c>
    </row>
    <row r="24" spans="1:8" ht="12.75">
      <c r="A24" s="469" t="s">
        <v>300</v>
      </c>
      <c r="B24" s="505">
        <v>6171</v>
      </c>
      <c r="C24" s="505">
        <v>5011</v>
      </c>
      <c r="D24" s="506">
        <v>0</v>
      </c>
      <c r="E24" s="506">
        <v>45</v>
      </c>
      <c r="F24" s="506">
        <v>34</v>
      </c>
      <c r="G24" s="507">
        <v>34</v>
      </c>
      <c r="H24" s="473">
        <f t="shared" si="0"/>
        <v>0.7555555555555555</v>
      </c>
    </row>
    <row r="25" spans="1:8" ht="12.75">
      <c r="A25" s="474" t="s">
        <v>301</v>
      </c>
      <c r="B25" s="475">
        <v>6171</v>
      </c>
      <c r="C25" s="475">
        <v>5011</v>
      </c>
      <c r="D25" s="503">
        <v>804</v>
      </c>
      <c r="E25" s="504">
        <v>640</v>
      </c>
      <c r="F25" s="503">
        <v>277</v>
      </c>
      <c r="G25" s="504">
        <v>472</v>
      </c>
      <c r="H25" s="473">
        <f t="shared" si="0"/>
        <v>0.7375</v>
      </c>
    </row>
    <row r="26" spans="1:8" ht="12.75">
      <c r="A26" s="508" t="s">
        <v>302</v>
      </c>
      <c r="B26" s="475">
        <v>6171</v>
      </c>
      <c r="C26" s="475">
        <v>5021</v>
      </c>
      <c r="D26" s="503">
        <v>200</v>
      </c>
      <c r="E26" s="503">
        <v>200</v>
      </c>
      <c r="F26" s="503">
        <v>105</v>
      </c>
      <c r="G26" s="504">
        <v>157</v>
      </c>
      <c r="H26" s="473">
        <f t="shared" si="0"/>
        <v>0.785</v>
      </c>
    </row>
    <row r="27" spans="1:8" ht="12.75">
      <c r="A27" s="508" t="s">
        <v>303</v>
      </c>
      <c r="B27" s="475">
        <v>6171</v>
      </c>
      <c r="C27" s="475">
        <v>5031</v>
      </c>
      <c r="D27" s="503">
        <v>3285</v>
      </c>
      <c r="E27" s="504">
        <v>3445</v>
      </c>
      <c r="F27" s="503">
        <v>1654</v>
      </c>
      <c r="G27" s="504">
        <v>2445</v>
      </c>
      <c r="H27" s="473">
        <f t="shared" si="0"/>
        <v>0.7097242380261248</v>
      </c>
    </row>
    <row r="28" spans="1:8" ht="12.75">
      <c r="A28" s="508" t="s">
        <v>304</v>
      </c>
      <c r="B28" s="475">
        <v>6171</v>
      </c>
      <c r="C28" s="475">
        <v>5032</v>
      </c>
      <c r="D28" s="503">
        <v>1215</v>
      </c>
      <c r="E28" s="504">
        <v>1265</v>
      </c>
      <c r="F28" s="503">
        <f>592+3</f>
        <v>595</v>
      </c>
      <c r="G28" s="504">
        <v>880</v>
      </c>
      <c r="H28" s="473">
        <f t="shared" si="0"/>
        <v>0.6956521739130435</v>
      </c>
    </row>
    <row r="29" spans="1:8" ht="12.75">
      <c r="A29" s="474" t="s">
        <v>305</v>
      </c>
      <c r="B29" s="475">
        <v>6171</v>
      </c>
      <c r="C29" s="475">
        <v>5038</v>
      </c>
      <c r="D29" s="503">
        <v>67</v>
      </c>
      <c r="E29" s="503">
        <v>67</v>
      </c>
      <c r="F29" s="503">
        <v>34</v>
      </c>
      <c r="G29" s="504">
        <v>51</v>
      </c>
      <c r="H29" s="473">
        <f t="shared" si="0"/>
        <v>0.7611940298507462</v>
      </c>
    </row>
    <row r="30" spans="1:8" ht="12.75">
      <c r="A30" s="474" t="s">
        <v>306</v>
      </c>
      <c r="B30" s="475">
        <v>6171</v>
      </c>
      <c r="C30" s="475">
        <v>5041</v>
      </c>
      <c r="D30" s="503"/>
      <c r="E30" s="503"/>
      <c r="F30" s="503">
        <v>1</v>
      </c>
      <c r="G30" s="504">
        <v>1</v>
      </c>
      <c r="H30" s="473"/>
    </row>
    <row r="31" spans="1:8" ht="12.75">
      <c r="A31" s="474" t="s">
        <v>260</v>
      </c>
      <c r="B31" s="475">
        <v>6171</v>
      </c>
      <c r="C31" s="475">
        <v>5132</v>
      </c>
      <c r="D31" s="503">
        <v>2</v>
      </c>
      <c r="E31" s="504">
        <v>4</v>
      </c>
      <c r="F31" s="503">
        <v>0</v>
      </c>
      <c r="G31" s="504">
        <v>4</v>
      </c>
      <c r="H31" s="473">
        <f t="shared" si="0"/>
        <v>1</v>
      </c>
    </row>
    <row r="32" spans="1:8" ht="12.75">
      <c r="A32" s="474" t="s">
        <v>307</v>
      </c>
      <c r="B32" s="475">
        <v>6171</v>
      </c>
      <c r="C32" s="475">
        <v>5133</v>
      </c>
      <c r="D32" s="503">
        <v>1</v>
      </c>
      <c r="E32" s="503">
        <v>1</v>
      </c>
      <c r="F32" s="503">
        <v>0</v>
      </c>
      <c r="G32" s="504">
        <v>0</v>
      </c>
      <c r="H32" s="473">
        <f t="shared" si="0"/>
        <v>0</v>
      </c>
    </row>
    <row r="33" spans="1:8" ht="12.75">
      <c r="A33" s="474" t="s">
        <v>308</v>
      </c>
      <c r="B33" s="475">
        <v>6171</v>
      </c>
      <c r="C33" s="475">
        <v>5134</v>
      </c>
      <c r="D33" s="503">
        <v>3</v>
      </c>
      <c r="E33" s="504">
        <v>1</v>
      </c>
      <c r="F33" s="503">
        <v>0</v>
      </c>
      <c r="G33" s="504">
        <v>0</v>
      </c>
      <c r="H33" s="473">
        <f t="shared" si="0"/>
        <v>0</v>
      </c>
    </row>
    <row r="34" spans="1:8" ht="12.75">
      <c r="A34" s="508" t="s">
        <v>309</v>
      </c>
      <c r="B34" s="475">
        <v>6171</v>
      </c>
      <c r="C34" s="475">
        <v>5136</v>
      </c>
      <c r="D34" s="503">
        <v>51</v>
      </c>
      <c r="E34" s="503">
        <v>51</v>
      </c>
      <c r="F34" s="503">
        <v>7</v>
      </c>
      <c r="G34" s="504">
        <v>22</v>
      </c>
      <c r="H34" s="473">
        <f t="shared" si="0"/>
        <v>0.43137254901960786</v>
      </c>
    </row>
    <row r="35" spans="1:8" ht="12.75">
      <c r="A35" s="474" t="s">
        <v>262</v>
      </c>
      <c r="B35" s="475">
        <v>6171</v>
      </c>
      <c r="C35" s="475">
        <v>5137</v>
      </c>
      <c r="D35" s="503">
        <v>175</v>
      </c>
      <c r="E35" s="503">
        <v>175</v>
      </c>
      <c r="F35" s="503">
        <v>44</v>
      </c>
      <c r="G35" s="504">
        <f>114-60</f>
        <v>54</v>
      </c>
      <c r="H35" s="473">
        <f t="shared" si="0"/>
        <v>0.30857142857142855</v>
      </c>
    </row>
    <row r="36" spans="1:8" ht="12.75">
      <c r="A36" s="474" t="s">
        <v>310</v>
      </c>
      <c r="B36" s="475">
        <v>6171</v>
      </c>
      <c r="C36" s="475">
        <v>5138</v>
      </c>
      <c r="D36" s="503">
        <v>1</v>
      </c>
      <c r="E36" s="503">
        <v>1</v>
      </c>
      <c r="F36" s="503">
        <v>0</v>
      </c>
      <c r="G36" s="504">
        <v>0</v>
      </c>
      <c r="H36" s="473">
        <f t="shared" si="0"/>
        <v>0</v>
      </c>
    </row>
    <row r="37" spans="1:9" ht="12.75">
      <c r="A37" s="508" t="s">
        <v>311</v>
      </c>
      <c r="B37" s="475">
        <v>6171</v>
      </c>
      <c r="C37" s="475">
        <v>5139</v>
      </c>
      <c r="D37" s="503">
        <v>265</v>
      </c>
      <c r="E37" s="504">
        <v>225</v>
      </c>
      <c r="F37" s="503">
        <f>124+3</f>
        <v>127</v>
      </c>
      <c r="G37" s="504">
        <f>302-61-18</f>
        <v>223</v>
      </c>
      <c r="H37" s="509">
        <f t="shared" si="0"/>
        <v>0.9911111111111112</v>
      </c>
      <c r="I37" t="s">
        <v>312</v>
      </c>
    </row>
    <row r="38" spans="1:8" ht="12.75">
      <c r="A38" s="508" t="s">
        <v>313</v>
      </c>
      <c r="B38" s="475">
        <v>6171</v>
      </c>
      <c r="C38" s="475">
        <v>5151</v>
      </c>
      <c r="D38" s="503">
        <v>100</v>
      </c>
      <c r="E38" s="503">
        <v>100</v>
      </c>
      <c r="F38" s="503">
        <v>53</v>
      </c>
      <c r="G38" s="504">
        <v>82</v>
      </c>
      <c r="H38" s="473">
        <f t="shared" si="0"/>
        <v>0.82</v>
      </c>
    </row>
    <row r="39" spans="1:8" ht="12.75">
      <c r="A39" s="508" t="s">
        <v>314</v>
      </c>
      <c r="B39" s="475">
        <v>6171</v>
      </c>
      <c r="C39" s="475">
        <v>5153</v>
      </c>
      <c r="D39" s="503">
        <v>550</v>
      </c>
      <c r="E39" s="503">
        <v>500</v>
      </c>
      <c r="F39" s="503">
        <v>227</v>
      </c>
      <c r="G39" s="504">
        <v>346</v>
      </c>
      <c r="H39" s="473">
        <f t="shared" si="0"/>
        <v>0.692</v>
      </c>
    </row>
    <row r="40" spans="1:8" ht="12.75">
      <c r="A40" s="508" t="s">
        <v>315</v>
      </c>
      <c r="B40" s="475">
        <v>6171</v>
      </c>
      <c r="C40" s="475">
        <v>5154</v>
      </c>
      <c r="D40" s="503">
        <v>550</v>
      </c>
      <c r="E40" s="503">
        <v>550</v>
      </c>
      <c r="F40" s="503">
        <f>210-13</f>
        <v>197</v>
      </c>
      <c r="G40" s="504">
        <v>300</v>
      </c>
      <c r="H40" s="473">
        <f t="shared" si="0"/>
        <v>0.5454545454545454</v>
      </c>
    </row>
    <row r="41" spans="1:8" ht="12.75">
      <c r="A41" s="474" t="s">
        <v>294</v>
      </c>
      <c r="B41" s="475">
        <v>6171</v>
      </c>
      <c r="C41" s="475">
        <v>5155</v>
      </c>
      <c r="D41" s="503">
        <v>1</v>
      </c>
      <c r="E41" s="503">
        <v>1</v>
      </c>
      <c r="F41" s="503">
        <v>0</v>
      </c>
      <c r="G41" s="504">
        <v>0</v>
      </c>
      <c r="H41" s="473">
        <f t="shared" si="0"/>
        <v>0</v>
      </c>
    </row>
    <row r="42" spans="1:8" ht="12.75">
      <c r="A42" s="508" t="s">
        <v>264</v>
      </c>
      <c r="B42" s="475">
        <v>6171</v>
      </c>
      <c r="C42" s="475">
        <v>5156</v>
      </c>
      <c r="D42" s="503">
        <v>145</v>
      </c>
      <c r="E42" s="503">
        <v>145</v>
      </c>
      <c r="F42" s="503">
        <v>48</v>
      </c>
      <c r="G42" s="504">
        <v>69</v>
      </c>
      <c r="H42" s="473">
        <f t="shared" si="0"/>
        <v>0.47586206896551725</v>
      </c>
    </row>
    <row r="43" spans="1:8" ht="12.75">
      <c r="A43" s="508" t="s">
        <v>316</v>
      </c>
      <c r="B43" s="475">
        <v>6171</v>
      </c>
      <c r="C43" s="475">
        <v>5161</v>
      </c>
      <c r="D43" s="503">
        <v>214</v>
      </c>
      <c r="E43" s="503">
        <v>214</v>
      </c>
      <c r="F43" s="503">
        <v>130</v>
      </c>
      <c r="G43" s="504">
        <v>187</v>
      </c>
      <c r="H43" s="473">
        <f t="shared" si="0"/>
        <v>0.8738317757009346</v>
      </c>
    </row>
    <row r="44" spans="1:8" ht="12.75">
      <c r="A44" s="474" t="s">
        <v>317</v>
      </c>
      <c r="B44" s="475">
        <v>6171</v>
      </c>
      <c r="C44" s="475">
        <v>5163</v>
      </c>
      <c r="D44" s="503">
        <v>26</v>
      </c>
      <c r="E44" s="503">
        <v>26</v>
      </c>
      <c r="F44" s="503">
        <v>15</v>
      </c>
      <c r="G44" s="504">
        <v>22</v>
      </c>
      <c r="H44" s="473">
        <f t="shared" si="0"/>
        <v>0.8461538461538461</v>
      </c>
    </row>
    <row r="45" spans="1:8" ht="12.75">
      <c r="A45" s="474" t="s">
        <v>318</v>
      </c>
      <c r="B45" s="475">
        <v>6171</v>
      </c>
      <c r="C45" s="475">
        <v>5164</v>
      </c>
      <c r="D45" s="503">
        <v>55</v>
      </c>
      <c r="E45" s="503">
        <v>55</v>
      </c>
      <c r="F45" s="503">
        <v>20</v>
      </c>
      <c r="G45" s="504">
        <f>157-130</f>
        <v>27</v>
      </c>
      <c r="H45" s="473">
        <f t="shared" si="0"/>
        <v>0.4909090909090909</v>
      </c>
    </row>
    <row r="46" spans="1:9" ht="12.75">
      <c r="A46" s="508" t="s">
        <v>319</v>
      </c>
      <c r="B46" s="475">
        <v>6171</v>
      </c>
      <c r="C46" s="475">
        <v>5166</v>
      </c>
      <c r="D46" s="503">
        <v>20</v>
      </c>
      <c r="E46" s="510">
        <v>79.5</v>
      </c>
      <c r="F46" s="503">
        <v>54</v>
      </c>
      <c r="G46" s="504">
        <v>66</v>
      </c>
      <c r="H46" s="473">
        <f t="shared" si="0"/>
        <v>0.8301886792452831</v>
      </c>
      <c r="I46" s="128"/>
    </row>
    <row r="47" spans="1:8" ht="12.75">
      <c r="A47" s="508" t="s">
        <v>320</v>
      </c>
      <c r="B47" s="475">
        <v>6171</v>
      </c>
      <c r="C47" s="475">
        <v>5167</v>
      </c>
      <c r="D47" s="503">
        <v>220</v>
      </c>
      <c r="E47" s="503">
        <v>220</v>
      </c>
      <c r="F47" s="503">
        <f>109-11</f>
        <v>98</v>
      </c>
      <c r="G47" s="504">
        <v>130</v>
      </c>
      <c r="H47" s="473">
        <f t="shared" si="0"/>
        <v>0.5909090909090909</v>
      </c>
    </row>
    <row r="48" spans="1:9" ht="12.75">
      <c r="A48" s="508" t="s">
        <v>321</v>
      </c>
      <c r="B48" s="475">
        <v>6171</v>
      </c>
      <c r="C48" s="475">
        <v>5169</v>
      </c>
      <c r="D48" s="506">
        <f>932-160</f>
        <v>772</v>
      </c>
      <c r="E48" s="507">
        <v>714</v>
      </c>
      <c r="F48" s="506">
        <v>404</v>
      </c>
      <c r="G48" s="507">
        <f>580-2</f>
        <v>578</v>
      </c>
      <c r="H48" s="511">
        <f t="shared" si="0"/>
        <v>0.8095238095238095</v>
      </c>
      <c r="I48" t="s">
        <v>322</v>
      </c>
    </row>
    <row r="49" spans="1:9" ht="12.75">
      <c r="A49" s="508" t="s">
        <v>323</v>
      </c>
      <c r="B49" s="475">
        <v>6171</v>
      </c>
      <c r="C49" s="475">
        <v>5171</v>
      </c>
      <c r="D49" s="512">
        <v>255</v>
      </c>
      <c r="E49" s="513">
        <v>155</v>
      </c>
      <c r="F49" s="512">
        <f>104-43-29</f>
        <v>32</v>
      </c>
      <c r="G49" s="513">
        <v>121</v>
      </c>
      <c r="H49" s="473">
        <f t="shared" si="0"/>
        <v>0.7806451612903226</v>
      </c>
      <c r="I49" s="128"/>
    </row>
    <row r="50" spans="1:8" ht="12.75">
      <c r="A50" s="508" t="s">
        <v>324</v>
      </c>
      <c r="B50" s="475">
        <v>6171</v>
      </c>
      <c r="C50" s="475">
        <v>5173</v>
      </c>
      <c r="D50" s="506">
        <v>160</v>
      </c>
      <c r="E50" s="506">
        <v>160</v>
      </c>
      <c r="F50" s="506">
        <v>48</v>
      </c>
      <c r="G50" s="507">
        <v>66</v>
      </c>
      <c r="H50" s="473">
        <f t="shared" si="0"/>
        <v>0.4125</v>
      </c>
    </row>
    <row r="51" spans="1:8" ht="12.75">
      <c r="A51" s="508" t="s">
        <v>325</v>
      </c>
      <c r="B51" s="475">
        <v>6171</v>
      </c>
      <c r="C51" s="475">
        <v>5175</v>
      </c>
      <c r="D51" s="506">
        <v>32</v>
      </c>
      <c r="E51" s="506">
        <v>32</v>
      </c>
      <c r="F51" s="506">
        <v>22</v>
      </c>
      <c r="G51" s="507">
        <v>25</v>
      </c>
      <c r="H51" s="473">
        <f t="shared" si="0"/>
        <v>0.78125</v>
      </c>
    </row>
    <row r="52" spans="1:8" ht="12.75">
      <c r="A52" s="474" t="s">
        <v>326</v>
      </c>
      <c r="B52" s="475">
        <v>6171</v>
      </c>
      <c r="C52" s="475">
        <v>5176</v>
      </c>
      <c r="D52" s="506">
        <v>28</v>
      </c>
      <c r="E52" s="506">
        <v>28</v>
      </c>
      <c r="F52" s="506">
        <v>1</v>
      </c>
      <c r="G52" s="507">
        <v>8</v>
      </c>
      <c r="H52" s="473">
        <f t="shared" si="0"/>
        <v>0.2857142857142857</v>
      </c>
    </row>
    <row r="53" spans="1:9" ht="12.75">
      <c r="A53" s="474" t="s">
        <v>327</v>
      </c>
      <c r="B53" s="475">
        <v>6171</v>
      </c>
      <c r="C53" s="475">
        <v>5179</v>
      </c>
      <c r="D53" s="506">
        <v>7</v>
      </c>
      <c r="E53" s="506">
        <v>7</v>
      </c>
      <c r="F53" s="506">
        <v>3</v>
      </c>
      <c r="G53" s="507">
        <v>6</v>
      </c>
      <c r="H53" s="473">
        <f t="shared" si="0"/>
        <v>0.8571428571428571</v>
      </c>
      <c r="I53" s="128"/>
    </row>
    <row r="54" spans="1:9" ht="12.75">
      <c r="A54" s="474" t="s">
        <v>328</v>
      </c>
      <c r="B54" s="475">
        <v>6171</v>
      </c>
      <c r="C54" s="475">
        <v>5182</v>
      </c>
      <c r="D54" s="506"/>
      <c r="E54" s="506"/>
      <c r="F54" s="506">
        <v>132</v>
      </c>
      <c r="G54" s="507">
        <v>67</v>
      </c>
      <c r="H54" s="473"/>
      <c r="I54" s="128"/>
    </row>
    <row r="55" spans="1:9" ht="12.75">
      <c r="A55" s="474" t="s">
        <v>329</v>
      </c>
      <c r="B55" s="475">
        <v>6171</v>
      </c>
      <c r="C55" s="475">
        <v>5191</v>
      </c>
      <c r="D55" s="506"/>
      <c r="E55" s="507">
        <v>34</v>
      </c>
      <c r="F55" s="506">
        <v>33</v>
      </c>
      <c r="G55" s="507">
        <v>33</v>
      </c>
      <c r="H55" s="473">
        <f t="shared" si="0"/>
        <v>0.9705882352941176</v>
      </c>
      <c r="I55" s="128"/>
    </row>
    <row r="56" spans="1:8" ht="12.75">
      <c r="A56" s="474" t="s">
        <v>330</v>
      </c>
      <c r="B56" s="475">
        <v>6171</v>
      </c>
      <c r="C56" s="475">
        <v>5192</v>
      </c>
      <c r="D56" s="506">
        <v>4</v>
      </c>
      <c r="E56" s="507">
        <v>6</v>
      </c>
      <c r="F56" s="506">
        <v>5</v>
      </c>
      <c r="G56" s="507">
        <v>5</v>
      </c>
      <c r="H56" s="473">
        <f t="shared" si="0"/>
        <v>0.8333333333333334</v>
      </c>
    </row>
    <row r="57" spans="1:8" ht="12.75">
      <c r="A57" s="474" t="s">
        <v>331</v>
      </c>
      <c r="B57" s="475">
        <v>6171</v>
      </c>
      <c r="C57" s="475">
        <v>5194</v>
      </c>
      <c r="D57" s="506">
        <v>26</v>
      </c>
      <c r="E57" s="507">
        <v>24</v>
      </c>
      <c r="F57" s="506">
        <v>9</v>
      </c>
      <c r="G57" s="507">
        <v>11</v>
      </c>
      <c r="H57" s="473">
        <f t="shared" si="0"/>
        <v>0.4583333333333333</v>
      </c>
    </row>
    <row r="58" spans="1:8" ht="12.75">
      <c r="A58" s="474" t="s">
        <v>332</v>
      </c>
      <c r="B58" s="475">
        <v>6171</v>
      </c>
      <c r="C58" s="475">
        <v>5212</v>
      </c>
      <c r="D58" s="506">
        <v>14</v>
      </c>
      <c r="E58" s="507">
        <v>4</v>
      </c>
      <c r="F58" s="506">
        <v>0</v>
      </c>
      <c r="G58" s="507">
        <v>0</v>
      </c>
      <c r="H58" s="473">
        <f t="shared" si="0"/>
        <v>0</v>
      </c>
    </row>
    <row r="59" spans="1:8" ht="12.75">
      <c r="A59" s="474" t="s">
        <v>333</v>
      </c>
      <c r="B59" s="475">
        <v>6171</v>
      </c>
      <c r="C59" s="475">
        <v>5222</v>
      </c>
      <c r="D59" s="506">
        <v>2</v>
      </c>
      <c r="E59" s="506">
        <v>2</v>
      </c>
      <c r="F59" s="506">
        <v>0</v>
      </c>
      <c r="G59" s="507">
        <v>0</v>
      </c>
      <c r="H59" s="473">
        <f t="shared" si="0"/>
        <v>0</v>
      </c>
    </row>
    <row r="60" spans="1:8" ht="12.75">
      <c r="A60" s="474" t="s">
        <v>334</v>
      </c>
      <c r="B60" s="475">
        <v>6171</v>
      </c>
      <c r="C60" s="475">
        <v>5229</v>
      </c>
      <c r="D60" s="506">
        <v>22</v>
      </c>
      <c r="E60" s="506">
        <v>22</v>
      </c>
      <c r="F60" s="506">
        <v>12</v>
      </c>
      <c r="G60" s="507">
        <v>17</v>
      </c>
      <c r="H60" s="473">
        <f t="shared" si="0"/>
        <v>0.7727272727272727</v>
      </c>
    </row>
    <row r="61" spans="1:8" ht="12.75">
      <c r="A61" s="474" t="s">
        <v>335</v>
      </c>
      <c r="B61" s="475">
        <v>6171</v>
      </c>
      <c r="C61" s="475">
        <v>5361</v>
      </c>
      <c r="D61" s="506">
        <v>35</v>
      </c>
      <c r="E61" s="506">
        <v>35</v>
      </c>
      <c r="F61" s="506">
        <v>4</v>
      </c>
      <c r="G61" s="507">
        <v>13</v>
      </c>
      <c r="H61" s="473">
        <f t="shared" si="0"/>
        <v>0.37142857142857144</v>
      </c>
    </row>
    <row r="62" spans="1:9" ht="12.75">
      <c r="A62" s="508" t="s">
        <v>336</v>
      </c>
      <c r="B62" s="475">
        <v>6171</v>
      </c>
      <c r="C62" s="475">
        <v>5362</v>
      </c>
      <c r="D62" s="506">
        <v>5</v>
      </c>
      <c r="E62" s="506">
        <v>5</v>
      </c>
      <c r="F62" s="506">
        <v>5</v>
      </c>
      <c r="G62" s="507">
        <v>5</v>
      </c>
      <c r="H62" s="473">
        <f t="shared" si="0"/>
        <v>1</v>
      </c>
      <c r="I62" s="128"/>
    </row>
    <row r="63" spans="1:9" ht="12.75">
      <c r="A63" s="474" t="s">
        <v>337</v>
      </c>
      <c r="B63" s="475">
        <v>6171</v>
      </c>
      <c r="C63" s="475">
        <v>5424</v>
      </c>
      <c r="D63" s="506">
        <v>74</v>
      </c>
      <c r="E63" s="506">
        <v>74</v>
      </c>
      <c r="F63" s="506">
        <v>38</v>
      </c>
      <c r="G63" s="507">
        <v>61</v>
      </c>
      <c r="H63" s="473">
        <f t="shared" si="0"/>
        <v>0.8243243243243243</v>
      </c>
      <c r="I63" s="128"/>
    </row>
    <row r="64" spans="1:8" ht="12.75">
      <c r="A64" s="474" t="s">
        <v>338</v>
      </c>
      <c r="B64" s="475">
        <v>6171</v>
      </c>
      <c r="C64" s="475">
        <v>5492</v>
      </c>
      <c r="D64" s="506">
        <v>10</v>
      </c>
      <c r="E64" s="506">
        <v>10</v>
      </c>
      <c r="F64" s="506">
        <v>5</v>
      </c>
      <c r="G64" s="507">
        <v>5</v>
      </c>
      <c r="H64" s="473">
        <f t="shared" si="0"/>
        <v>0.5</v>
      </c>
    </row>
    <row r="65" spans="1:9" ht="12.75">
      <c r="A65" s="491" t="s">
        <v>339</v>
      </c>
      <c r="B65" s="475">
        <v>6171</v>
      </c>
      <c r="C65" s="492">
        <v>5493</v>
      </c>
      <c r="D65" s="506">
        <v>20</v>
      </c>
      <c r="E65" s="507">
        <v>10</v>
      </c>
      <c r="F65" s="506"/>
      <c r="G65" s="507"/>
      <c r="H65" s="473">
        <f t="shared" si="0"/>
        <v>0</v>
      </c>
      <c r="I65" s="128"/>
    </row>
    <row r="66" spans="1:9" ht="13.5" thickBot="1">
      <c r="A66" s="514" t="s">
        <v>340</v>
      </c>
      <c r="B66" s="480">
        <v>6171</v>
      </c>
      <c r="C66" s="515">
        <v>5909</v>
      </c>
      <c r="D66" s="516"/>
      <c r="E66" s="517">
        <v>44</v>
      </c>
      <c r="F66" s="516">
        <v>44</v>
      </c>
      <c r="G66" s="517">
        <v>44</v>
      </c>
      <c r="H66" s="473">
        <f t="shared" si="0"/>
        <v>1</v>
      </c>
      <c r="I66" s="128"/>
    </row>
    <row r="67" spans="1:9" ht="13.5" thickBot="1">
      <c r="A67" s="518" t="s">
        <v>341</v>
      </c>
      <c r="B67" s="519"/>
      <c r="C67" s="519"/>
      <c r="D67" s="520">
        <f>SUM(D23:D65)</f>
        <v>21756</v>
      </c>
      <c r="E67" s="521">
        <f>SUM(E23:E66)</f>
        <v>21671.5</v>
      </c>
      <c r="F67" s="520">
        <f>SUM(F23:F66)</f>
        <v>10658</v>
      </c>
      <c r="G67" s="522">
        <f>SUM(G23:G66)</f>
        <v>15721</v>
      </c>
      <c r="H67" s="487">
        <f t="shared" si="0"/>
        <v>0.7254227903006253</v>
      </c>
      <c r="I67" s="128"/>
    </row>
    <row r="68" spans="2:8" ht="12.75">
      <c r="B68" s="488"/>
      <c r="C68" s="488"/>
      <c r="D68" s="523"/>
      <c r="E68" s="523"/>
      <c r="F68" s="523"/>
      <c r="G68" s="524"/>
      <c r="H68" s="473"/>
    </row>
    <row r="69" spans="1:8" ht="13.5" thickBot="1">
      <c r="A69" s="525" t="s">
        <v>342</v>
      </c>
      <c r="B69" s="488"/>
      <c r="C69" s="488"/>
      <c r="D69" s="523"/>
      <c r="E69" s="523"/>
      <c r="F69" s="523"/>
      <c r="G69" s="524"/>
      <c r="H69" s="473"/>
    </row>
    <row r="70" spans="1:8" ht="12.75">
      <c r="A70" s="526" t="s">
        <v>255</v>
      </c>
      <c r="B70" s="527">
        <v>4339</v>
      </c>
      <c r="C70" s="527">
        <v>5011</v>
      </c>
      <c r="D70" s="528">
        <v>350</v>
      </c>
      <c r="E70" s="529">
        <v>340</v>
      </c>
      <c r="F70" s="530">
        <v>86</v>
      </c>
      <c r="G70" s="531">
        <v>129</v>
      </c>
      <c r="H70" s="473">
        <f aca="true" t="shared" si="1" ref="H70:H121">+G70/E70</f>
        <v>0.37941176470588234</v>
      </c>
    </row>
    <row r="71" spans="1:8" ht="12.75">
      <c r="A71" s="532" t="s">
        <v>343</v>
      </c>
      <c r="B71" s="475">
        <v>4339</v>
      </c>
      <c r="C71" s="475">
        <v>5031</v>
      </c>
      <c r="D71" s="533">
        <v>100</v>
      </c>
      <c r="E71" s="533">
        <v>100</v>
      </c>
      <c r="F71" s="534">
        <v>22</v>
      </c>
      <c r="G71" s="535">
        <v>33</v>
      </c>
      <c r="H71" s="473">
        <f t="shared" si="1"/>
        <v>0.33</v>
      </c>
    </row>
    <row r="72" spans="1:8" ht="12.75">
      <c r="A72" s="532" t="s">
        <v>262</v>
      </c>
      <c r="B72" s="475">
        <v>4339</v>
      </c>
      <c r="C72" s="475">
        <v>5137</v>
      </c>
      <c r="D72" s="533">
        <v>40</v>
      </c>
      <c r="E72" s="533">
        <v>40</v>
      </c>
      <c r="F72" s="534">
        <v>8</v>
      </c>
      <c r="G72" s="535">
        <v>12</v>
      </c>
      <c r="H72" s="473">
        <f t="shared" si="1"/>
        <v>0.3</v>
      </c>
    </row>
    <row r="73" spans="1:8" ht="12.75">
      <c r="A73" s="536" t="s">
        <v>267</v>
      </c>
      <c r="B73" s="537">
        <v>4339</v>
      </c>
      <c r="C73" s="537">
        <v>5167</v>
      </c>
      <c r="D73" s="538"/>
      <c r="E73" s="539">
        <v>10</v>
      </c>
      <c r="F73" s="540">
        <v>6</v>
      </c>
      <c r="G73" s="541">
        <v>7</v>
      </c>
      <c r="H73" s="473">
        <f t="shared" si="1"/>
        <v>0.7</v>
      </c>
    </row>
    <row r="74" spans="1:8" ht="13.5" thickBot="1">
      <c r="A74" s="542" t="s">
        <v>229</v>
      </c>
      <c r="B74" s="479">
        <v>4339</v>
      </c>
      <c r="C74" s="479">
        <v>5169</v>
      </c>
      <c r="D74" s="543">
        <v>86</v>
      </c>
      <c r="E74" s="543">
        <v>86</v>
      </c>
      <c r="F74" s="544">
        <v>0</v>
      </c>
      <c r="G74" s="545">
        <v>0</v>
      </c>
      <c r="H74" s="473">
        <f t="shared" si="1"/>
        <v>0</v>
      </c>
    </row>
    <row r="75" spans="1:8" ht="13.5" thickBot="1">
      <c r="A75" s="546" t="s">
        <v>344</v>
      </c>
      <c r="B75" s="547"/>
      <c r="C75" s="547"/>
      <c r="D75" s="548">
        <f>SUM(D70:D74)</f>
        <v>576</v>
      </c>
      <c r="E75" s="548">
        <f>SUM(E70:E74)</f>
        <v>576</v>
      </c>
      <c r="F75" s="548">
        <f>SUM(F70:F74)</f>
        <v>122</v>
      </c>
      <c r="G75" s="549">
        <f>SUM(G70:G74)</f>
        <v>181</v>
      </c>
      <c r="H75" s="487">
        <f t="shared" si="1"/>
        <v>0.3142361111111111</v>
      </c>
    </row>
    <row r="76" spans="2:8" ht="13.5" thickBot="1">
      <c r="B76" s="488"/>
      <c r="C76" s="488"/>
      <c r="D76" s="523"/>
      <c r="E76" s="523"/>
      <c r="F76" s="523"/>
      <c r="G76" s="524"/>
      <c r="H76" s="487"/>
    </row>
    <row r="77" spans="1:8" ht="13.5" thickBot="1">
      <c r="A77" s="550" t="s">
        <v>345</v>
      </c>
      <c r="B77" s="547">
        <v>5212</v>
      </c>
      <c r="C77" s="547">
        <v>5901</v>
      </c>
      <c r="D77" s="551">
        <v>160</v>
      </c>
      <c r="E77" s="552">
        <v>100</v>
      </c>
      <c r="F77" s="551">
        <v>0</v>
      </c>
      <c r="G77" s="552">
        <v>5</v>
      </c>
      <c r="H77" s="487">
        <f t="shared" si="1"/>
        <v>0.05</v>
      </c>
    </row>
    <row r="78" spans="2:8" ht="13.5" thickBot="1">
      <c r="B78" s="488"/>
      <c r="C78" s="488"/>
      <c r="D78" s="489"/>
      <c r="E78" s="489"/>
      <c r="F78" s="489"/>
      <c r="G78" s="490"/>
      <c r="H78" s="487"/>
    </row>
    <row r="79" spans="1:9" ht="13.5" thickBot="1">
      <c r="A79" s="550" t="s">
        <v>346</v>
      </c>
      <c r="B79" s="547">
        <v>6330</v>
      </c>
      <c r="C79" s="547">
        <v>5342</v>
      </c>
      <c r="D79" s="553">
        <v>630</v>
      </c>
      <c r="E79" s="553">
        <v>630</v>
      </c>
      <c r="F79" s="553">
        <v>313</v>
      </c>
      <c r="G79" s="554">
        <v>468</v>
      </c>
      <c r="H79" s="487">
        <f t="shared" si="1"/>
        <v>0.7428571428571429</v>
      </c>
      <c r="I79" s="128"/>
    </row>
    <row r="80" spans="2:8" ht="13.5" thickBot="1">
      <c r="B80" s="488"/>
      <c r="C80" s="488"/>
      <c r="D80" s="489"/>
      <c r="E80" s="489"/>
      <c r="F80" s="489"/>
      <c r="G80" s="490"/>
      <c r="H80" s="473"/>
    </row>
    <row r="81" spans="1:8" ht="13.5" thickBot="1">
      <c r="A81" s="499" t="s">
        <v>347</v>
      </c>
      <c r="B81" s="500"/>
      <c r="C81" s="500"/>
      <c r="D81" s="467"/>
      <c r="E81" s="467"/>
      <c r="F81" s="467"/>
      <c r="G81" s="468"/>
      <c r="H81" s="473"/>
    </row>
    <row r="82" spans="1:8" ht="12.75">
      <c r="A82" s="474" t="s">
        <v>348</v>
      </c>
      <c r="B82" s="475">
        <v>6171</v>
      </c>
      <c r="C82" s="475">
        <v>5136</v>
      </c>
      <c r="D82" s="555">
        <v>2</v>
      </c>
      <c r="E82" s="555">
        <v>2</v>
      </c>
      <c r="F82" s="555">
        <v>0</v>
      </c>
      <c r="G82" s="556">
        <v>2</v>
      </c>
      <c r="H82" s="473">
        <f t="shared" si="1"/>
        <v>1</v>
      </c>
    </row>
    <row r="83" spans="1:8" ht="12.75">
      <c r="A83" s="474" t="s">
        <v>262</v>
      </c>
      <c r="B83" s="475">
        <v>6171</v>
      </c>
      <c r="C83" s="475">
        <v>5137</v>
      </c>
      <c r="D83" s="496">
        <v>400</v>
      </c>
      <c r="E83" s="496">
        <v>400</v>
      </c>
      <c r="F83" s="496">
        <v>6</v>
      </c>
      <c r="G83" s="497">
        <v>6</v>
      </c>
      <c r="H83" s="473">
        <f t="shared" si="1"/>
        <v>0.015</v>
      </c>
    </row>
    <row r="84" spans="1:8" ht="12.75">
      <c r="A84" s="508" t="s">
        <v>349</v>
      </c>
      <c r="B84" s="475">
        <v>6171</v>
      </c>
      <c r="C84" s="475">
        <v>5139</v>
      </c>
      <c r="D84" s="476">
        <v>180</v>
      </c>
      <c r="E84" s="476">
        <v>180</v>
      </c>
      <c r="F84" s="476">
        <v>35</v>
      </c>
      <c r="G84" s="477">
        <v>61</v>
      </c>
      <c r="H84" s="473">
        <f t="shared" si="1"/>
        <v>0.3388888888888889</v>
      </c>
    </row>
    <row r="85" spans="1:8" ht="12.75">
      <c r="A85" s="474" t="s">
        <v>350</v>
      </c>
      <c r="B85" s="475">
        <v>6171</v>
      </c>
      <c r="C85" s="475">
        <v>5162</v>
      </c>
      <c r="D85" s="476">
        <v>340</v>
      </c>
      <c r="E85" s="476">
        <v>340</v>
      </c>
      <c r="F85" s="476">
        <v>170</v>
      </c>
      <c r="G85" s="477">
        <v>256</v>
      </c>
      <c r="H85" s="473">
        <f t="shared" si="1"/>
        <v>0.7529411764705882</v>
      </c>
    </row>
    <row r="86" spans="1:9" ht="12.75">
      <c r="A86" s="474" t="s">
        <v>318</v>
      </c>
      <c r="B86" s="475">
        <v>6171</v>
      </c>
      <c r="C86" s="475">
        <v>5164</v>
      </c>
      <c r="D86" s="476">
        <v>85</v>
      </c>
      <c r="E86" s="477">
        <v>150</v>
      </c>
      <c r="F86" s="476">
        <v>87</v>
      </c>
      <c r="G86" s="477">
        <v>130</v>
      </c>
      <c r="H86" s="473">
        <f t="shared" si="1"/>
        <v>0.8666666666666667</v>
      </c>
      <c r="I86" t="s">
        <v>351</v>
      </c>
    </row>
    <row r="87" spans="1:8" ht="12.75">
      <c r="A87" s="508" t="s">
        <v>319</v>
      </c>
      <c r="B87" s="475">
        <v>6171</v>
      </c>
      <c r="C87" s="475">
        <v>5166</v>
      </c>
      <c r="D87" s="476"/>
      <c r="E87" s="477"/>
      <c r="F87" s="476"/>
      <c r="G87" s="477">
        <v>1</v>
      </c>
      <c r="H87" s="473"/>
    </row>
    <row r="88" spans="1:8" ht="12.75">
      <c r="A88" s="474" t="s">
        <v>267</v>
      </c>
      <c r="B88" s="475">
        <v>6171</v>
      </c>
      <c r="C88" s="475">
        <v>5167</v>
      </c>
      <c r="D88" s="476"/>
      <c r="E88" s="476"/>
      <c r="F88" s="476">
        <v>1</v>
      </c>
      <c r="G88" s="477">
        <v>1</v>
      </c>
      <c r="H88" s="473"/>
    </row>
    <row r="89" spans="1:9" ht="12.75">
      <c r="A89" s="474" t="s">
        <v>352</v>
      </c>
      <c r="B89" s="475">
        <v>6171</v>
      </c>
      <c r="C89" s="475">
        <v>5168</v>
      </c>
      <c r="D89" s="476"/>
      <c r="E89" s="476">
        <v>400</v>
      </c>
      <c r="F89" s="476">
        <v>262</v>
      </c>
      <c r="G89" s="477">
        <v>374</v>
      </c>
      <c r="H89" s="473">
        <f t="shared" si="1"/>
        <v>0.935</v>
      </c>
      <c r="I89" t="s">
        <v>291</v>
      </c>
    </row>
    <row r="90" spans="1:9" ht="12.75">
      <c r="A90" s="508" t="s">
        <v>321</v>
      </c>
      <c r="B90" s="475">
        <v>6171</v>
      </c>
      <c r="C90" s="475">
        <v>5169</v>
      </c>
      <c r="D90" s="476">
        <v>400</v>
      </c>
      <c r="E90" s="477">
        <v>135</v>
      </c>
      <c r="F90" s="476">
        <v>14</v>
      </c>
      <c r="G90" s="477">
        <v>39</v>
      </c>
      <c r="H90" s="473">
        <f t="shared" si="1"/>
        <v>0.28888888888888886</v>
      </c>
      <c r="I90" s="128"/>
    </row>
    <row r="91" spans="1:8" ht="12.75">
      <c r="A91" s="474" t="s">
        <v>323</v>
      </c>
      <c r="B91" s="475">
        <v>6171</v>
      </c>
      <c r="C91" s="475">
        <v>5171</v>
      </c>
      <c r="D91" s="476">
        <v>25</v>
      </c>
      <c r="E91" s="476">
        <v>25</v>
      </c>
      <c r="F91" s="476">
        <v>4</v>
      </c>
      <c r="G91" s="477">
        <v>23</v>
      </c>
      <c r="H91" s="473">
        <f t="shared" si="1"/>
        <v>0.92</v>
      </c>
    </row>
    <row r="92" spans="1:8" ht="13.5" thickBot="1">
      <c r="A92" s="474" t="s">
        <v>353</v>
      </c>
      <c r="B92" s="475">
        <v>6171</v>
      </c>
      <c r="C92" s="475">
        <v>5172</v>
      </c>
      <c r="D92" s="557">
        <v>270</v>
      </c>
      <c r="E92" s="558">
        <v>70</v>
      </c>
      <c r="F92" s="557">
        <v>0</v>
      </c>
      <c r="G92" s="558">
        <v>0</v>
      </c>
      <c r="H92" s="473">
        <f t="shared" si="1"/>
        <v>0</v>
      </c>
    </row>
    <row r="93" spans="1:8" ht="12.75">
      <c r="A93" s="559" t="s">
        <v>354</v>
      </c>
      <c r="B93" s="475"/>
      <c r="C93" s="475"/>
      <c r="D93" s="560"/>
      <c r="E93" s="560"/>
      <c r="F93" s="560"/>
      <c r="G93" s="561"/>
      <c r="H93" s="473"/>
    </row>
    <row r="94" spans="1:8" ht="12.75">
      <c r="A94" s="562" t="s">
        <v>352</v>
      </c>
      <c r="B94" s="537">
        <v>6171</v>
      </c>
      <c r="C94" s="537">
        <v>5168</v>
      </c>
      <c r="D94" s="476"/>
      <c r="E94" s="477">
        <v>108</v>
      </c>
      <c r="F94" s="476">
        <v>54</v>
      </c>
      <c r="G94" s="477">
        <v>81</v>
      </c>
      <c r="H94" s="473">
        <f t="shared" si="1"/>
        <v>0.75</v>
      </c>
    </row>
    <row r="95" spans="1:8" ht="13.5" thickBot="1">
      <c r="A95" s="563" t="s">
        <v>355</v>
      </c>
      <c r="B95" s="479">
        <v>6171</v>
      </c>
      <c r="C95" s="479">
        <v>5169</v>
      </c>
      <c r="D95" s="481">
        <v>108</v>
      </c>
      <c r="E95" s="482">
        <v>0</v>
      </c>
      <c r="F95" s="481">
        <v>0</v>
      </c>
      <c r="G95" s="482">
        <v>0</v>
      </c>
      <c r="H95" s="473"/>
    </row>
    <row r="96" spans="1:9" ht="13.5" thickBot="1">
      <c r="A96" s="564" t="s">
        <v>356</v>
      </c>
      <c r="B96" s="565"/>
      <c r="C96" s="565"/>
      <c r="D96" s="566">
        <f>SUM(D82:D95)</f>
        <v>1810</v>
      </c>
      <c r="E96" s="567">
        <f>SUM(E82:E95)</f>
        <v>1810</v>
      </c>
      <c r="F96" s="566">
        <f>SUM(F82:F95)</f>
        <v>633</v>
      </c>
      <c r="G96" s="567">
        <f>SUM(G82:G95)</f>
        <v>974</v>
      </c>
      <c r="H96" s="487">
        <f t="shared" si="1"/>
        <v>0.538121546961326</v>
      </c>
      <c r="I96" s="128"/>
    </row>
    <row r="97" spans="1:8" ht="12.75">
      <c r="A97" s="525"/>
      <c r="B97" s="490"/>
      <c r="C97" s="490"/>
      <c r="D97" s="489"/>
      <c r="E97" s="489"/>
      <c r="F97" s="489"/>
      <c r="G97" s="490"/>
      <c r="H97" s="473"/>
    </row>
    <row r="98" spans="1:8" ht="13.5" thickBot="1">
      <c r="A98" s="525" t="s">
        <v>357</v>
      </c>
      <c r="B98" s="488"/>
      <c r="C98" s="488"/>
      <c r="D98" s="489"/>
      <c r="E98" s="489"/>
      <c r="F98" s="489"/>
      <c r="G98" s="490"/>
      <c r="H98" s="473"/>
    </row>
    <row r="99" spans="1:8" ht="12.75">
      <c r="A99" s="568" t="s">
        <v>358</v>
      </c>
      <c r="B99" s="569">
        <v>6171</v>
      </c>
      <c r="C99" s="570">
        <v>5171</v>
      </c>
      <c r="D99" s="571">
        <v>1550</v>
      </c>
      <c r="E99" s="571">
        <v>1812</v>
      </c>
      <c r="F99" s="571">
        <v>1573</v>
      </c>
      <c r="G99" s="572">
        <v>1602</v>
      </c>
      <c r="H99" s="473">
        <f t="shared" si="1"/>
        <v>0.8841059602649006</v>
      </c>
    </row>
    <row r="100" spans="1:8" ht="12.75">
      <c r="A100" s="491" t="s">
        <v>359</v>
      </c>
      <c r="B100" s="573">
        <v>6171</v>
      </c>
      <c r="C100" s="574">
        <v>5171</v>
      </c>
      <c r="D100" s="575"/>
      <c r="E100" s="575">
        <v>500</v>
      </c>
      <c r="F100" s="575">
        <v>379</v>
      </c>
      <c r="G100" s="576">
        <v>468</v>
      </c>
      <c r="H100" s="473">
        <f t="shared" si="1"/>
        <v>0.936</v>
      </c>
    </row>
    <row r="101" spans="1:8" ht="12.75">
      <c r="A101" s="491" t="s">
        <v>360</v>
      </c>
      <c r="B101" s="573">
        <v>6171</v>
      </c>
      <c r="C101" s="577">
        <v>6111</v>
      </c>
      <c r="D101" s="575">
        <v>0</v>
      </c>
      <c r="E101" s="575">
        <v>6</v>
      </c>
      <c r="F101" s="575">
        <v>6</v>
      </c>
      <c r="G101" s="576">
        <v>6</v>
      </c>
      <c r="H101" s="473">
        <f t="shared" si="1"/>
        <v>1</v>
      </c>
    </row>
    <row r="102" spans="1:8" ht="13.5" thickBot="1">
      <c r="A102" s="578" t="s">
        <v>361</v>
      </c>
      <c r="B102" s="579">
        <v>6171</v>
      </c>
      <c r="C102" s="580">
        <v>6121</v>
      </c>
      <c r="D102" s="581"/>
      <c r="E102" s="581">
        <v>268</v>
      </c>
      <c r="F102" s="581">
        <v>268</v>
      </c>
      <c r="G102" s="582">
        <v>268</v>
      </c>
      <c r="H102" s="473">
        <f t="shared" si="1"/>
        <v>1</v>
      </c>
    </row>
    <row r="103" spans="1:8" ht="12.75">
      <c r="A103" s="583" t="s">
        <v>362</v>
      </c>
      <c r="B103" s="584">
        <v>6171</v>
      </c>
      <c r="C103" s="585">
        <v>6111</v>
      </c>
      <c r="D103" s="586"/>
      <c r="E103" s="587">
        <v>75</v>
      </c>
      <c r="F103" s="586"/>
      <c r="G103" s="587">
        <v>75</v>
      </c>
      <c r="H103" s="473">
        <f t="shared" si="1"/>
        <v>1</v>
      </c>
    </row>
    <row r="104" spans="1:8" ht="13.5" thickBot="1">
      <c r="A104" s="483"/>
      <c r="B104" s="588">
        <v>6171</v>
      </c>
      <c r="C104" s="589">
        <v>6125</v>
      </c>
      <c r="D104" s="590"/>
      <c r="E104" s="591">
        <v>83</v>
      </c>
      <c r="F104" s="590"/>
      <c r="G104" s="591">
        <v>83</v>
      </c>
      <c r="H104" s="473">
        <f t="shared" si="1"/>
        <v>1</v>
      </c>
    </row>
    <row r="105" spans="1:8" ht="13.5" thickBot="1">
      <c r="A105" s="493" t="s">
        <v>363</v>
      </c>
      <c r="B105" s="592">
        <v>6171</v>
      </c>
      <c r="C105" s="593">
        <v>6121</v>
      </c>
      <c r="D105" s="594">
        <v>100</v>
      </c>
      <c r="E105" s="594">
        <v>100</v>
      </c>
      <c r="F105" s="594">
        <v>0</v>
      </c>
      <c r="G105" s="595">
        <v>0</v>
      </c>
      <c r="H105" s="473">
        <f t="shared" si="1"/>
        <v>0</v>
      </c>
    </row>
    <row r="106" spans="1:8" ht="13.5" thickBot="1">
      <c r="A106" s="564" t="s">
        <v>364</v>
      </c>
      <c r="B106" s="519"/>
      <c r="C106" s="519"/>
      <c r="D106" s="596">
        <f>SUM(D99:D105)</f>
        <v>1650</v>
      </c>
      <c r="E106" s="596">
        <f>SUM(E99:E105)</f>
        <v>2844</v>
      </c>
      <c r="F106" s="596">
        <f>SUM(F99:F105)</f>
        <v>2226</v>
      </c>
      <c r="G106" s="597">
        <f>SUM(G99:G105)</f>
        <v>2502</v>
      </c>
      <c r="H106" s="487">
        <f t="shared" si="1"/>
        <v>0.879746835443038</v>
      </c>
    </row>
    <row r="107" spans="1:8" ht="12.75">
      <c r="A107" s="598"/>
      <c r="B107" s="515"/>
      <c r="C107" s="515"/>
      <c r="D107" s="599"/>
      <c r="E107" s="599"/>
      <c r="F107" s="599"/>
      <c r="G107" s="525"/>
      <c r="H107" s="473"/>
    </row>
    <row r="108" spans="1:8" ht="13.5" thickBot="1">
      <c r="A108" s="525" t="s">
        <v>365</v>
      </c>
      <c r="B108" s="490"/>
      <c r="C108" s="490"/>
      <c r="D108" s="523"/>
      <c r="E108" s="523"/>
      <c r="F108" s="523"/>
      <c r="G108" s="524"/>
      <c r="H108" s="473"/>
    </row>
    <row r="109" spans="1:8" ht="12.75">
      <c r="A109" s="600" t="s">
        <v>366</v>
      </c>
      <c r="B109" s="601">
        <v>6112</v>
      </c>
      <c r="C109" s="602" t="s">
        <v>367</v>
      </c>
      <c r="D109" s="603">
        <f>+D7</f>
        <v>1640</v>
      </c>
      <c r="E109" s="603">
        <f>+E7</f>
        <v>1640</v>
      </c>
      <c r="F109" s="603">
        <f>+F7</f>
        <v>819</v>
      </c>
      <c r="G109" s="604">
        <f>+G7</f>
        <v>1234</v>
      </c>
      <c r="H109" s="473">
        <f t="shared" si="1"/>
        <v>0.7524390243902439</v>
      </c>
    </row>
    <row r="110" spans="1:8" ht="12.75">
      <c r="A110" s="605" t="s">
        <v>368</v>
      </c>
      <c r="B110" s="606" t="s">
        <v>369</v>
      </c>
      <c r="C110" s="607" t="s">
        <v>367</v>
      </c>
      <c r="D110" s="608">
        <f>+D20</f>
        <v>0</v>
      </c>
      <c r="E110" s="608">
        <f>+E20</f>
        <v>159.5</v>
      </c>
      <c r="F110" s="608">
        <f>+F20</f>
        <v>116</v>
      </c>
      <c r="G110" s="609">
        <f>+G20</f>
        <v>116</v>
      </c>
      <c r="H110" s="473">
        <f t="shared" si="1"/>
        <v>0.7272727272727273</v>
      </c>
    </row>
    <row r="111" spans="1:8" ht="12.75">
      <c r="A111" s="610" t="s">
        <v>370</v>
      </c>
      <c r="B111" s="611">
        <v>6171</v>
      </c>
      <c r="C111" s="612" t="s">
        <v>367</v>
      </c>
      <c r="D111" s="613">
        <f>+D67</f>
        <v>21756</v>
      </c>
      <c r="E111" s="613">
        <f>+E67</f>
        <v>21671.5</v>
      </c>
      <c r="F111" s="613">
        <f>+F67</f>
        <v>10658</v>
      </c>
      <c r="G111" s="614">
        <f>+G67</f>
        <v>15721</v>
      </c>
      <c r="H111" s="473">
        <f t="shared" si="1"/>
        <v>0.7254227903006253</v>
      </c>
    </row>
    <row r="112" spans="1:8" ht="12.75">
      <c r="A112" s="610" t="s">
        <v>371</v>
      </c>
      <c r="B112" s="611">
        <v>4339</v>
      </c>
      <c r="C112" s="615" t="s">
        <v>367</v>
      </c>
      <c r="D112" s="613">
        <f>+D75</f>
        <v>576</v>
      </c>
      <c r="E112" s="613">
        <f>+E75</f>
        <v>576</v>
      </c>
      <c r="F112" s="613">
        <f>+F75</f>
        <v>122</v>
      </c>
      <c r="G112" s="614">
        <f>+G75</f>
        <v>181</v>
      </c>
      <c r="H112" s="473">
        <f t="shared" si="1"/>
        <v>0.3142361111111111</v>
      </c>
    </row>
    <row r="113" spans="1:8" ht="12.75">
      <c r="A113" s="610" t="s">
        <v>345</v>
      </c>
      <c r="B113" s="611">
        <v>5212</v>
      </c>
      <c r="C113" s="612">
        <v>5901</v>
      </c>
      <c r="D113" s="613">
        <f>+D77</f>
        <v>160</v>
      </c>
      <c r="E113" s="613">
        <f>+E77</f>
        <v>100</v>
      </c>
      <c r="F113" s="613">
        <f>+F77</f>
        <v>0</v>
      </c>
      <c r="G113" s="614">
        <f>+G77</f>
        <v>5</v>
      </c>
      <c r="H113" s="473">
        <f t="shared" si="1"/>
        <v>0.05</v>
      </c>
    </row>
    <row r="114" spans="1:8" ht="12.75">
      <c r="A114" s="610" t="s">
        <v>346</v>
      </c>
      <c r="B114" s="611">
        <v>6330</v>
      </c>
      <c r="C114" s="611">
        <v>5342</v>
      </c>
      <c r="D114" s="613">
        <f>+D79</f>
        <v>630</v>
      </c>
      <c r="E114" s="613">
        <f>+E79</f>
        <v>630</v>
      </c>
      <c r="F114" s="613">
        <f>+F79</f>
        <v>313</v>
      </c>
      <c r="G114" s="614">
        <f>+G79</f>
        <v>468</v>
      </c>
      <c r="H114" s="473">
        <f t="shared" si="1"/>
        <v>0.7428571428571429</v>
      </c>
    </row>
    <row r="115" spans="1:8" ht="12.75">
      <c r="A115" s="610" t="s">
        <v>372</v>
      </c>
      <c r="B115" s="611">
        <v>6171</v>
      </c>
      <c r="C115" s="612" t="s">
        <v>373</v>
      </c>
      <c r="D115" s="613">
        <f>+D96</f>
        <v>1810</v>
      </c>
      <c r="E115" s="613">
        <f>+E96</f>
        <v>1810</v>
      </c>
      <c r="F115" s="613">
        <f>+F96</f>
        <v>633</v>
      </c>
      <c r="G115" s="614">
        <f>+G96</f>
        <v>974</v>
      </c>
      <c r="H115" s="473">
        <f t="shared" si="1"/>
        <v>0.538121546961326</v>
      </c>
    </row>
    <row r="116" spans="1:8" ht="13.5" thickBot="1">
      <c r="A116" s="616" t="s">
        <v>374</v>
      </c>
      <c r="B116" s="617">
        <v>6171</v>
      </c>
      <c r="C116" s="618" t="s">
        <v>375</v>
      </c>
      <c r="D116" s="619">
        <f>+D106</f>
        <v>1650</v>
      </c>
      <c r="E116" s="619">
        <f>+E106</f>
        <v>2844</v>
      </c>
      <c r="F116" s="619">
        <f>+F106</f>
        <v>2226</v>
      </c>
      <c r="G116" s="620">
        <f>+G106</f>
        <v>2502</v>
      </c>
      <c r="H116" s="473">
        <f t="shared" si="1"/>
        <v>0.879746835443038</v>
      </c>
    </row>
    <row r="117" spans="1:8" ht="13.5" thickBot="1">
      <c r="A117" s="621"/>
      <c r="B117" s="622"/>
      <c r="C117" s="622"/>
      <c r="D117" s="623"/>
      <c r="E117" s="623"/>
      <c r="F117" s="623"/>
      <c r="G117" s="624"/>
      <c r="H117" s="473"/>
    </row>
    <row r="118" spans="1:8" ht="13.5" thickBot="1">
      <c r="A118" s="564" t="s">
        <v>341</v>
      </c>
      <c r="B118" s="625"/>
      <c r="C118" s="625"/>
      <c r="D118" s="626">
        <f>SUM(D109:D116)</f>
        <v>28222</v>
      </c>
      <c r="E118" s="626">
        <f>SUM(E109:E116)</f>
        <v>29431</v>
      </c>
      <c r="F118" s="626">
        <f>SUM(F109:F116)</f>
        <v>14887</v>
      </c>
      <c r="G118" s="627">
        <f>SUM(G109:G116)</f>
        <v>21201</v>
      </c>
      <c r="H118" s="473">
        <f t="shared" si="1"/>
        <v>0.7203628826747307</v>
      </c>
    </row>
    <row r="119" spans="1:8" ht="13.5" thickBot="1">
      <c r="A119" s="621" t="s">
        <v>376</v>
      </c>
      <c r="D119" s="628">
        <f>+D118-D116</f>
        <v>26572</v>
      </c>
      <c r="E119" s="629">
        <f>+E118-E116</f>
        <v>26587</v>
      </c>
      <c r="F119" s="628">
        <f>+F118-F116</f>
        <v>12661</v>
      </c>
      <c r="G119" s="629">
        <f>+G118-G116</f>
        <v>18699</v>
      </c>
      <c r="H119" s="487">
        <f t="shared" si="1"/>
        <v>0.7033136495279648</v>
      </c>
    </row>
    <row r="120" spans="1:8" ht="12.75">
      <c r="A120" s="621" t="s">
        <v>377</v>
      </c>
      <c r="B120">
        <v>6171</v>
      </c>
      <c r="C120" t="s">
        <v>367</v>
      </c>
      <c r="D120" s="630">
        <f>D110+D111+D113+D115</f>
        <v>23726</v>
      </c>
      <c r="E120" s="630">
        <f>E110+E111+E113+E115</f>
        <v>23741</v>
      </c>
      <c r="F120" s="630">
        <f>F110+F111+F113+F115</f>
        <v>11407</v>
      </c>
      <c r="G120" s="631">
        <f>G110+G111+G113+G115</f>
        <v>16816</v>
      </c>
      <c r="H120" s="473">
        <f t="shared" si="1"/>
        <v>0.7083105176698539</v>
      </c>
    </row>
    <row r="121" spans="1:8" ht="12.75">
      <c r="A121" s="621" t="s">
        <v>378</v>
      </c>
      <c r="B121">
        <v>6171</v>
      </c>
      <c r="C121" t="s">
        <v>379</v>
      </c>
      <c r="D121" s="632">
        <f>SUM(D23:D29)</f>
        <v>17911</v>
      </c>
      <c r="E121" s="632">
        <f>SUM(E23:E29)</f>
        <v>17957</v>
      </c>
      <c r="F121" s="632">
        <f>SUM(F23:F30)</f>
        <v>8841</v>
      </c>
      <c r="G121" s="633">
        <f>SUM(G23:G30)</f>
        <v>13124</v>
      </c>
      <c r="H121" s="473">
        <f t="shared" si="1"/>
        <v>0.7308570473909896</v>
      </c>
    </row>
    <row r="122" spans="4:7" ht="12.75">
      <c r="D122" s="630"/>
      <c r="E122" s="630"/>
      <c r="F122" s="630"/>
      <c r="G122" s="631"/>
    </row>
    <row r="123" spans="4:7" ht="12.75">
      <c r="D123" s="630"/>
      <c r="E123" s="630"/>
      <c r="F123" s="630"/>
      <c r="G123" s="6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7.421875" style="376" customWidth="1"/>
    <col min="2" max="2" width="31.00390625" style="376" customWidth="1"/>
    <col min="3" max="3" width="18.57421875" style="376" customWidth="1"/>
    <col min="4" max="4" width="17.8515625" style="376" customWidth="1"/>
    <col min="5" max="7" width="9.140625" style="370" customWidth="1"/>
    <col min="8" max="8" width="20.421875" style="370" customWidth="1"/>
    <col min="9" max="9" width="12.421875" style="370" customWidth="1"/>
    <col min="10" max="10" width="15.421875" style="370" customWidth="1"/>
    <col min="11" max="16384" width="9.140625" style="370" customWidth="1"/>
  </cols>
  <sheetData>
    <row r="1" spans="1:4" ht="16.5">
      <c r="A1" s="443" t="s">
        <v>245</v>
      </c>
      <c r="B1" s="443"/>
      <c r="C1" s="443"/>
      <c r="D1" s="443"/>
    </row>
    <row r="2" spans="1:4" ht="16.5">
      <c r="A2" s="371"/>
      <c r="B2" s="372"/>
      <c r="C2" s="372"/>
      <c r="D2" s="372"/>
    </row>
    <row r="3" spans="1:3" ht="17.25" thickBot="1">
      <c r="A3" s="373" t="s">
        <v>246</v>
      </c>
      <c r="B3" s="374"/>
      <c r="C3" s="375"/>
    </row>
    <row r="4" spans="1:4" ht="16.5" thickBot="1">
      <c r="A4" s="377" t="s">
        <v>247</v>
      </c>
      <c r="B4" s="378" t="s">
        <v>248</v>
      </c>
      <c r="C4" s="378" t="s">
        <v>249</v>
      </c>
      <c r="D4" s="379" t="s">
        <v>8</v>
      </c>
    </row>
    <row r="5" spans="1:9" ht="15">
      <c r="A5" s="380">
        <v>2111</v>
      </c>
      <c r="B5" s="381" t="s">
        <v>250</v>
      </c>
      <c r="C5" s="382">
        <v>1629360.89</v>
      </c>
      <c r="D5" s="383"/>
      <c r="H5" s="384"/>
      <c r="I5" s="384"/>
    </row>
    <row r="6" spans="1:9" ht="15.75" thickBot="1">
      <c r="A6" s="385">
        <v>4122</v>
      </c>
      <c r="B6" s="386" t="s">
        <v>251</v>
      </c>
      <c r="C6" s="387">
        <v>0</v>
      </c>
      <c r="D6" s="388"/>
      <c r="H6" s="384"/>
      <c r="I6" s="384"/>
    </row>
    <row r="7" spans="2:9" ht="16.5" thickBot="1">
      <c r="B7" s="389" t="s">
        <v>8</v>
      </c>
      <c r="C7" s="390"/>
      <c r="D7" s="391">
        <f>SUM(C5:C6)</f>
        <v>1629360.89</v>
      </c>
      <c r="H7" s="384"/>
      <c r="I7" s="384"/>
    </row>
    <row r="8" spans="1:8" ht="18.75" thickBot="1">
      <c r="A8" s="392"/>
      <c r="B8" s="393"/>
      <c r="C8" s="394"/>
      <c r="D8" s="395"/>
      <c r="H8" s="384"/>
    </row>
    <row r="9" spans="1:8" ht="18">
      <c r="A9" s="392"/>
      <c r="B9" s="396" t="s">
        <v>252</v>
      </c>
      <c r="C9" s="397"/>
      <c r="D9" s="398">
        <v>1650000</v>
      </c>
      <c r="H9" s="384"/>
    </row>
    <row r="10" spans="2:8" ht="16.5" thickBot="1">
      <c r="B10" s="389" t="s">
        <v>253</v>
      </c>
      <c r="C10" s="399"/>
      <c r="D10" s="400">
        <f>+D7/D9</f>
        <v>0.9874914484848484</v>
      </c>
      <c r="H10" s="384"/>
    </row>
    <row r="11" ht="12.75">
      <c r="H11" s="384"/>
    </row>
    <row r="12" ht="12.75">
      <c r="H12" s="384"/>
    </row>
    <row r="13" spans="1:8" ht="17.25" thickBot="1">
      <c r="A13" s="373" t="s">
        <v>254</v>
      </c>
      <c r="B13" s="372"/>
      <c r="C13" s="372"/>
      <c r="D13" s="372"/>
      <c r="H13" s="384"/>
    </row>
    <row r="14" spans="1:8" ht="16.5" thickBot="1">
      <c r="A14" s="377" t="s">
        <v>247</v>
      </c>
      <c r="B14" s="378" t="s">
        <v>248</v>
      </c>
      <c r="C14" s="378" t="s">
        <v>249</v>
      </c>
      <c r="D14" s="379" t="s">
        <v>8</v>
      </c>
      <c r="H14" s="384"/>
    </row>
    <row r="15" spans="1:10" ht="15.75">
      <c r="A15" s="380">
        <v>5011</v>
      </c>
      <c r="B15" s="381" t="s">
        <v>255</v>
      </c>
      <c r="C15" s="382">
        <v>218958</v>
      </c>
      <c r="D15" s="401"/>
      <c r="H15" s="384"/>
      <c r="I15" s="384"/>
      <c r="J15" s="384"/>
    </row>
    <row r="16" spans="1:10" ht="15.75">
      <c r="A16" s="402">
        <v>5021</v>
      </c>
      <c r="B16" s="403" t="s">
        <v>256</v>
      </c>
      <c r="C16" s="404">
        <v>16200</v>
      </c>
      <c r="D16" s="405"/>
      <c r="H16" s="384"/>
      <c r="I16" s="384"/>
      <c r="J16" s="384"/>
    </row>
    <row r="17" spans="1:10" ht="15.75">
      <c r="A17" s="402">
        <v>5024</v>
      </c>
      <c r="B17" s="403" t="s">
        <v>257</v>
      </c>
      <c r="C17" s="404">
        <v>0</v>
      </c>
      <c r="D17" s="405"/>
      <c r="H17" s="384"/>
      <c r="I17" s="384"/>
      <c r="J17" s="384"/>
    </row>
    <row r="18" spans="1:10" ht="15.75">
      <c r="A18" s="406">
        <v>5031</v>
      </c>
      <c r="B18" s="407" t="s">
        <v>258</v>
      </c>
      <c r="C18" s="408">
        <v>55488</v>
      </c>
      <c r="D18" s="409"/>
      <c r="H18" s="384"/>
      <c r="I18" s="384"/>
      <c r="J18" s="384"/>
    </row>
    <row r="19" spans="1:10" ht="15">
      <c r="A19" s="406">
        <v>5032</v>
      </c>
      <c r="B19" s="407" t="s">
        <v>259</v>
      </c>
      <c r="C19" s="408">
        <v>19976</v>
      </c>
      <c r="D19" s="410"/>
      <c r="H19" s="384"/>
      <c r="I19" s="384"/>
      <c r="J19" s="384"/>
    </row>
    <row r="20" spans="1:10" ht="15">
      <c r="A20" s="406">
        <v>5132</v>
      </c>
      <c r="B20" s="407" t="s">
        <v>260</v>
      </c>
      <c r="C20" s="408">
        <v>6240.71</v>
      </c>
      <c r="D20" s="410"/>
      <c r="H20" s="384"/>
      <c r="I20" s="384"/>
      <c r="J20" s="384"/>
    </row>
    <row r="21" spans="1:10" ht="15">
      <c r="A21" s="406">
        <v>5133</v>
      </c>
      <c r="B21" s="407" t="s">
        <v>261</v>
      </c>
      <c r="C21" s="408">
        <v>0</v>
      </c>
      <c r="D21" s="410"/>
      <c r="H21" s="384"/>
      <c r="I21" s="384"/>
      <c r="J21" s="384"/>
    </row>
    <row r="22" spans="1:10" ht="15">
      <c r="A22" s="406">
        <v>5137</v>
      </c>
      <c r="B22" s="407" t="s">
        <v>262</v>
      </c>
      <c r="C22" s="408">
        <v>61226</v>
      </c>
      <c r="D22" s="410"/>
      <c r="H22" s="384"/>
      <c r="I22" s="384"/>
      <c r="J22" s="384"/>
    </row>
    <row r="23" spans="1:10" ht="15">
      <c r="A23" s="406">
        <v>5139</v>
      </c>
      <c r="B23" s="407" t="s">
        <v>263</v>
      </c>
      <c r="C23" s="408">
        <v>314826.8</v>
      </c>
      <c r="D23" s="410"/>
      <c r="H23" s="384"/>
      <c r="I23" s="384"/>
      <c r="J23" s="384"/>
    </row>
    <row r="24" spans="1:10" ht="15">
      <c r="A24" s="406">
        <v>5156</v>
      </c>
      <c r="B24" s="407" t="s">
        <v>264</v>
      </c>
      <c r="C24" s="411">
        <v>49392.59</v>
      </c>
      <c r="D24" s="410"/>
      <c r="H24" s="384"/>
      <c r="I24" s="384"/>
      <c r="J24" s="384"/>
    </row>
    <row r="25" spans="1:10" ht="15">
      <c r="A25" s="406">
        <v>5162</v>
      </c>
      <c r="B25" s="407" t="s">
        <v>265</v>
      </c>
      <c r="C25" s="411">
        <v>3192</v>
      </c>
      <c r="D25" s="410"/>
      <c r="H25" s="384"/>
      <c r="I25" s="384"/>
      <c r="J25" s="384"/>
    </row>
    <row r="26" spans="1:10" ht="15">
      <c r="A26" s="406">
        <v>5163</v>
      </c>
      <c r="B26" s="407" t="s">
        <v>266</v>
      </c>
      <c r="C26" s="411">
        <v>4227</v>
      </c>
      <c r="D26" s="410"/>
      <c r="H26" s="384"/>
      <c r="I26" s="384"/>
      <c r="J26" s="384"/>
    </row>
    <row r="27" spans="1:10" ht="15">
      <c r="A27" s="406">
        <v>5167</v>
      </c>
      <c r="B27" s="407" t="s">
        <v>267</v>
      </c>
      <c r="C27" s="411">
        <v>242</v>
      </c>
      <c r="D27" s="410"/>
      <c r="H27" s="384"/>
      <c r="I27" s="384"/>
      <c r="J27" s="384"/>
    </row>
    <row r="28" spans="1:10" ht="15">
      <c r="A28" s="406">
        <v>5169</v>
      </c>
      <c r="B28" s="407" t="s">
        <v>268</v>
      </c>
      <c r="C28" s="408">
        <v>787583.75</v>
      </c>
      <c r="D28" s="410"/>
      <c r="H28" s="384"/>
      <c r="I28" s="384"/>
      <c r="J28" s="384"/>
    </row>
    <row r="29" spans="1:10" ht="15">
      <c r="A29" s="406">
        <v>5171</v>
      </c>
      <c r="B29" s="407" t="s">
        <v>269</v>
      </c>
      <c r="C29" s="408">
        <v>19805.94</v>
      </c>
      <c r="D29" s="410"/>
      <c r="H29" s="384"/>
      <c r="I29" s="384"/>
      <c r="J29" s="384"/>
    </row>
    <row r="30" spans="1:10" ht="15">
      <c r="A30" s="406">
        <v>5173</v>
      </c>
      <c r="B30" s="407" t="s">
        <v>270</v>
      </c>
      <c r="C30" s="408">
        <v>1400</v>
      </c>
      <c r="D30" s="410"/>
      <c r="H30" s="384"/>
      <c r="I30" s="384"/>
      <c r="J30" s="384"/>
    </row>
    <row r="31" spans="1:10" ht="15">
      <c r="A31" s="406">
        <v>5175</v>
      </c>
      <c r="B31" s="407" t="s">
        <v>271</v>
      </c>
      <c r="C31" s="408">
        <v>0</v>
      </c>
      <c r="D31" s="410"/>
      <c r="H31" s="384"/>
      <c r="I31" s="384"/>
      <c r="J31" s="384"/>
    </row>
    <row r="32" spans="1:10" ht="15">
      <c r="A32" s="406">
        <v>5362</v>
      </c>
      <c r="B32" s="407" t="s">
        <v>272</v>
      </c>
      <c r="C32" s="408">
        <v>2700</v>
      </c>
      <c r="D32" s="410"/>
      <c r="H32" s="384"/>
      <c r="I32" s="384"/>
      <c r="J32" s="384"/>
    </row>
    <row r="33" spans="1:10" ht="15.75" thickBot="1">
      <c r="A33" s="412">
        <v>5424</v>
      </c>
      <c r="B33" s="413" t="s">
        <v>273</v>
      </c>
      <c r="C33" s="414">
        <v>0</v>
      </c>
      <c r="D33" s="415"/>
      <c r="H33" s="384"/>
      <c r="I33" s="384"/>
      <c r="J33" s="384"/>
    </row>
    <row r="34" spans="1:9" ht="17.25" thickBot="1">
      <c r="A34" s="416"/>
      <c r="B34" s="417" t="s">
        <v>8</v>
      </c>
      <c r="C34" s="418"/>
      <c r="D34" s="419">
        <f>SUM(C15:C33)</f>
        <v>1561458.79</v>
      </c>
      <c r="H34" s="384"/>
      <c r="I34" s="384"/>
    </row>
    <row r="35" spans="2:9" ht="15.75">
      <c r="B35" s="396" t="s">
        <v>252</v>
      </c>
      <c r="C35" s="397"/>
      <c r="D35" s="398">
        <v>1460000</v>
      </c>
      <c r="H35" s="384"/>
      <c r="I35" s="384"/>
    </row>
    <row r="36" spans="2:8" ht="16.5" thickBot="1">
      <c r="B36" s="389" t="s">
        <v>274</v>
      </c>
      <c r="C36" s="399"/>
      <c r="D36" s="420">
        <f>+D34/D35</f>
        <v>1.0694923219178083</v>
      </c>
      <c r="H36" s="384"/>
    </row>
    <row r="37" spans="1:4" ht="18.75" thickBot="1">
      <c r="A37" s="392"/>
      <c r="B37" s="421"/>
      <c r="C37" s="422"/>
      <c r="D37" s="373"/>
    </row>
    <row r="38" spans="2:4" ht="17.25" thickBot="1">
      <c r="B38" s="423" t="s">
        <v>275</v>
      </c>
      <c r="C38" s="424"/>
      <c r="D38" s="425">
        <f>+D7-D34</f>
        <v>67902.09999999986</v>
      </c>
    </row>
    <row r="39" spans="2:4" ht="15.75" thickBot="1">
      <c r="B39" s="426" t="s">
        <v>276</v>
      </c>
      <c r="C39" s="427"/>
      <c r="D39" s="428">
        <f>+D9-D35</f>
        <v>190000</v>
      </c>
    </row>
    <row r="40" spans="2:4" ht="15.75" thickBot="1">
      <c r="B40" s="429" t="s">
        <v>277</v>
      </c>
      <c r="C40" s="430"/>
      <c r="D40" s="431">
        <f>+D38-D39</f>
        <v>-122097.90000000014</v>
      </c>
    </row>
    <row r="42" spans="1:3" ht="12.75">
      <c r="A42" s="432"/>
      <c r="C42" s="432"/>
    </row>
    <row r="43" ht="12.75">
      <c r="C43" s="432"/>
    </row>
    <row r="44" spans="3:4" ht="12.75">
      <c r="C44" s="432"/>
      <c r="D44" s="432"/>
    </row>
    <row r="45" spans="1:4" ht="12.75">
      <c r="A45" s="432"/>
      <c r="D45" s="433"/>
    </row>
    <row r="47" ht="12.75">
      <c r="A47" s="434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2014-10-14T12:08:20Z</cp:lastPrinted>
  <dcterms:created xsi:type="dcterms:W3CDTF">2013-05-23T11:23:45Z</dcterms:created>
  <dcterms:modified xsi:type="dcterms:W3CDTF">2014-10-22T14:00:31Z</dcterms:modified>
  <cp:category/>
  <cp:version/>
  <cp:contentType/>
  <cp:contentStatus/>
</cp:coreProperties>
</file>