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145" activeTab="0"/>
  </bookViews>
  <sheets>
    <sheet name="V.úprava" sheetId="1" r:id="rId1"/>
  </sheets>
  <definedNames>
    <definedName name="_xlnm.Print_Area" localSheetId="0">'V.úprava'!$A$1:$N$139</definedName>
  </definedNames>
  <calcPr fullCalcOnLoad="1"/>
</workbook>
</file>

<file path=xl/sharedStrings.xml><?xml version="1.0" encoding="utf-8"?>
<sst xmlns="http://schemas.openxmlformats.org/spreadsheetml/2006/main" count="245" uniqueCount="172">
  <si>
    <t xml:space="preserve">Příjmy - tis.Kč </t>
  </si>
  <si>
    <t>rozpočet 2012</t>
  </si>
  <si>
    <t>I.úprava</t>
  </si>
  <si>
    <t>II.úprava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</si>
  <si>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</si>
  <si>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</si>
  <si>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</si>
  <si>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</si>
  <si>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</si>
  <si>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</si>
  <si>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</si>
  <si>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</si>
  <si>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knihovna - PK</t>
  </si>
  <si>
    <t>dotace z UP na mzdy</t>
  </si>
  <si>
    <t>státní správa lesů</t>
  </si>
  <si>
    <t>vzdělávací program ZŠ (EU)</t>
  </si>
  <si>
    <t>oprava kolowratské kaple</t>
  </si>
  <si>
    <t>inv.dotace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</si>
  <si>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</si>
  <si>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</si>
  <si>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</si>
  <si>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</si>
  <si>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</si>
  <si>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</si>
  <si>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</si>
  <si>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</si>
  <si>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</si>
  <si>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</si>
  <si>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</si>
  <si>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</si>
  <si>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</si>
  <si>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</si>
  <si>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</si>
  <si>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</si>
  <si>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</si>
  <si>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</si>
  <si>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</si>
  <si>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</si>
  <si>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</si>
  <si>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</si>
  <si>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</si>
  <si>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</si>
  <si>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</si>
  <si>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</si>
  <si>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</si>
  <si>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</si>
  <si>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</si>
  <si>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</si>
  <si>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</si>
  <si>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</si>
  <si>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</si>
  <si>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</si>
  <si>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</si>
  <si>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</si>
  <si>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</si>
  <si>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</si>
  <si>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</si>
  <si>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</si>
  <si>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</si>
  <si>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</si>
  <si>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</si>
  <si>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</si>
  <si>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</si>
  <si>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</si>
  <si>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</si>
  <si>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</si>
  <si>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běžné příjmy</t>
  </si>
  <si>
    <t xml:space="preserve">Výdaje - tis.Kč </t>
  </si>
  <si>
    <t>ŠKOLSTVÍ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</si>
  <si>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</si>
  <si>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</si>
  <si>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</si>
  <si>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</si>
  <si>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</si>
  <si>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</si>
  <si>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</si>
  <si>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</si>
  <si>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</si>
  <si>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</si>
  <si>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 xml:space="preserve">knihovna </t>
  </si>
  <si>
    <t>knihovna nákup knih</t>
  </si>
  <si>
    <t>ost.spolky+kult.akce</t>
  </si>
  <si>
    <t>ROZVOJ MĚSTA</t>
  </si>
  <si>
    <t>výtah DPS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</si>
  <si>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</si>
  <si>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</si>
  <si>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</si>
  <si>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</si>
  <si>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</si>
  <si>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</si>
  <si>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prac.četa města</t>
  </si>
  <si>
    <t>věř.osvětlení</t>
  </si>
  <si>
    <t>JSDH Blovice - provoz (JPOIII)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</si>
  <si>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</si>
  <si>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</si>
  <si>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</si>
  <si>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</si>
  <si>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</si>
  <si>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</si>
  <si>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</si>
  <si>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státní správa lesů neinv.</t>
  </si>
  <si>
    <t>drobné opravy, služby</t>
  </si>
  <si>
    <t>SOC.VĚCI</t>
  </si>
  <si>
    <t>peč.služba</t>
  </si>
  <si>
    <t>CELKEM VÝDAJE PŘED KONS.</t>
  </si>
  <si>
    <t>CELKEM VÝDAJE PO KONS.</t>
  </si>
  <si>
    <t>běžné výdaje</t>
  </si>
  <si>
    <t>saldo běžného hosp.</t>
  </si>
  <si>
    <t>HV PO KONSOLIDACI</t>
  </si>
  <si>
    <t>podíl salda na běž.příjmech</t>
  </si>
  <si>
    <t>Financování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</si>
  <si>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</si>
  <si>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</si>
  <si>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</si>
  <si>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</si>
  <si>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</si>
  <si>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</si>
  <si>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</si>
  <si>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</si>
  <si>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</si>
  <si>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</si>
  <si>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sousoší Ukřižování - SZIF</t>
  </si>
  <si>
    <t>kotelna DPS</t>
  </si>
  <si>
    <t>nevyuž.dotace 2013</t>
  </si>
  <si>
    <t xml:space="preserve">ostatní </t>
  </si>
  <si>
    <t>veřejná zeleň pro zemní val</t>
  </si>
  <si>
    <t>¨¨¨¨¨¨¨¨¨¨¨¨¨¨¨¨¨¨¨¨¨¨¨¨¨¨¨¨¨¨¨¨¨¨¨¨¨¨¨¨¨¨¨¨¨¨¨¨¨¨¨¨¨¨¨¨¨¨¨¨¨¨¨¨</t>
  </si>
  <si>
    <t>mimoř.neinv.akce</t>
  </si>
  <si>
    <t xml:space="preserve">LESY </t>
  </si>
  <si>
    <t>zateplení sálu LD - OPŽP</t>
  </si>
  <si>
    <t>oslavy 730 let města Blovice</t>
  </si>
  <si>
    <t>optický kabel města</t>
  </si>
  <si>
    <t>prodeje staveb a ost. majetku</t>
  </si>
  <si>
    <t>výstavba sběr.dvora - OPŽP</t>
  </si>
  <si>
    <t xml:space="preserve">přírodní koupací biotop </t>
  </si>
  <si>
    <t>pojistné a bank.poplatky</t>
  </si>
  <si>
    <t>Přijaté úvěry krátkodobé</t>
  </si>
  <si>
    <t>odpadové hospodářství</t>
  </si>
  <si>
    <t>chodník Luční (u mostu)</t>
  </si>
  <si>
    <t>MK Hájek - ul.5.května, PD</t>
  </si>
  <si>
    <t xml:space="preserve">sousoší Ukřižování </t>
  </si>
  <si>
    <t>TJ Sokol provoz a odd.nár.házená</t>
  </si>
  <si>
    <t>ZŠ provoz, projekty</t>
  </si>
  <si>
    <t>hasič.zbrojnice PD</t>
  </si>
  <si>
    <t>oprava chodby radnice</t>
  </si>
  <si>
    <t>oprava střechy a fasády radnice</t>
  </si>
  <si>
    <t>přírodní koupací biotop -ROP</t>
  </si>
  <si>
    <t>rekonstrukce ulice Branka - ROP</t>
  </si>
  <si>
    <t xml:space="preserve">plynofikace Komorno </t>
  </si>
  <si>
    <t>příspěvek na plyn.Komorno (RWE)</t>
  </si>
  <si>
    <t>revitalizace Raušarových sadů</t>
  </si>
  <si>
    <t xml:space="preserve">úpravy pod kostelem </t>
  </si>
  <si>
    <t>veřejná zeleň pro zemní val (OPŽP)</t>
  </si>
  <si>
    <t>kanalizace Branka, Jirotova</t>
  </si>
  <si>
    <t xml:space="preserve">zateplení sálu LD </t>
  </si>
  <si>
    <t>biotop - provoz</t>
  </si>
  <si>
    <t xml:space="preserve">sběrný dvůr Blovice </t>
  </si>
  <si>
    <t>modernizace sport.rekr.areálu (ROP)</t>
  </si>
  <si>
    <t>rekonstrukce věžice čp.137</t>
  </si>
  <si>
    <t>koupací biotop</t>
  </si>
  <si>
    <t>oprava MK Štítov</t>
  </si>
  <si>
    <t>IV.úprava</t>
  </si>
  <si>
    <t>rekonstrukce Jirotovy ulice</t>
  </si>
  <si>
    <t>V.úprava</t>
  </si>
  <si>
    <t>havárie střechy DDM</t>
  </si>
  <si>
    <t>oprava kolowratské kaple + ost.</t>
  </si>
  <si>
    <t>ZŠ-ŠJ - provoz, havárie</t>
  </si>
  <si>
    <t>řízení projektů ROP</t>
  </si>
  <si>
    <t>oprava bazénu ZŠ</t>
  </si>
  <si>
    <t>ZŠ-plavecká učebna</t>
  </si>
  <si>
    <t>ZŠ Blovice - projekt ROP, ost.nák.</t>
  </si>
  <si>
    <t>44-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</si>
</sst>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Fill="1" applyBorder="1" applyAlignment="1">
      <alignment/>
    </xf>
    <xf numFmtId="1" fontId="2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1" fontId="5" fillId="0" borderId="3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" fontId="2" fillId="0" borderId="33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2" fillId="0" borderId="2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1" fontId="2" fillId="0" borderId="33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1" fontId="2" fillId="0" borderId="4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165" fontId="0" fillId="0" borderId="0" xfId="49" applyNumberFormat="1" applyFont="1" applyAlignment="1">
      <alignment/>
    </xf>
    <xf numFmtId="0" fontId="13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3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46" xfId="0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7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1" fontId="2" fillId="0" borderId="49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0" fontId="2" fillId="0" borderId="50" xfId="47" applyFont="1" applyBorder="1">
      <alignment/>
      <protection/>
    </xf>
    <xf numFmtId="1" fontId="2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2" fontId="0" fillId="0" borderId="0" xfId="0" applyNumberFormat="1" applyAlignment="1">
      <alignment/>
    </xf>
    <xf numFmtId="164" fontId="12" fillId="0" borderId="21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48" xfId="0" applyNumberFormat="1" applyFont="1" applyFill="1" applyBorder="1" applyAlignment="1">
      <alignment/>
    </xf>
    <xf numFmtId="164" fontId="3" fillId="0" borderId="53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5" fillId="0" borderId="25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6" fillId="0" borderId="41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164" fontId="3" fillId="0" borderId="33" xfId="0" applyNumberFormat="1" applyFont="1" applyFill="1" applyBorder="1" applyAlignment="1" applyProtection="1">
      <alignment/>
      <protection locked="0"/>
    </xf>
    <xf numFmtId="164" fontId="3" fillId="0" borderId="33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3" fillId="0" borderId="37" xfId="0" applyNumberFormat="1" applyFont="1" applyFill="1" applyBorder="1" applyAlignment="1">
      <alignment/>
    </xf>
    <xf numFmtId="164" fontId="2" fillId="0" borderId="37" xfId="0" applyNumberFormat="1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2" fillId="0" borderId="56" xfId="47" applyNumberFormat="1" applyFont="1" applyBorder="1">
      <alignment/>
      <protection/>
    </xf>
    <xf numFmtId="164" fontId="6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3" fillId="0" borderId="15" xfId="0" applyNumberFormat="1" applyFont="1" applyFill="1" applyBorder="1" applyAlignment="1">
      <alignment/>
    </xf>
    <xf numFmtId="164" fontId="6" fillId="0" borderId="34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164" fontId="6" fillId="0" borderId="25" xfId="0" applyNumberFormat="1" applyFont="1" applyFill="1" applyBorder="1" applyAlignment="1">
      <alignment/>
    </xf>
    <xf numFmtId="164" fontId="6" fillId="0" borderId="17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56" xfId="47" applyNumberFormat="1" applyFont="1" applyBorder="1">
      <alignment/>
      <protection/>
    </xf>
    <xf numFmtId="164" fontId="3" fillId="0" borderId="57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14" fontId="3" fillId="0" borderId="46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14" fontId="2" fillId="0" borderId="46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.úprava rozpočtu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7"/>
  <sheetViews>
    <sheetView tabSelected="1" zoomScalePageLayoutView="0" workbookViewId="0" topLeftCell="A1">
      <selection activeCell="O139" sqref="O139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3.00390625" style="0" customWidth="1"/>
    <col min="4" max="4" width="32.421875" style="0" customWidth="1"/>
    <col min="5" max="5" width="0.42578125" style="121" hidden="1" customWidth="1"/>
    <col min="6" max="7" width="0.71875" style="121" hidden="1" customWidth="1"/>
    <col min="8" max="8" width="0.13671875" style="121" hidden="1" customWidth="1"/>
    <col min="9" max="10" width="9.7109375" style="121" hidden="1" customWidth="1"/>
    <col min="11" max="14" width="11.140625" style="121" customWidth="1"/>
    <col min="15" max="15" width="9.140625" style="113" customWidth="1"/>
    <col min="16" max="16" width="11.57421875" style="0" customWidth="1"/>
    <col min="21" max="21" width="10.57421875" style="0" bestFit="1" customWidth="1"/>
  </cols>
  <sheetData>
    <row r="1" spans="1:15" ht="18.75" thickBot="1">
      <c r="A1" s="1" t="s">
        <v>0</v>
      </c>
      <c r="B1" s="2"/>
      <c r="C1" s="2"/>
      <c r="D1" s="2"/>
      <c r="E1" s="203" t="s">
        <v>1</v>
      </c>
      <c r="F1" s="204"/>
      <c r="G1" s="203" t="s">
        <v>2</v>
      </c>
      <c r="H1" s="204"/>
      <c r="I1" s="203" t="s">
        <v>3</v>
      </c>
      <c r="J1" s="204"/>
      <c r="K1" s="201" t="s">
        <v>161</v>
      </c>
      <c r="L1" s="202"/>
      <c r="M1" s="201" t="s">
        <v>163</v>
      </c>
      <c r="N1" s="202"/>
      <c r="O1" s="3"/>
    </row>
    <row r="2" spans="1:15" ht="13.5" thickBot="1">
      <c r="A2" s="4" t="s">
        <v>4</v>
      </c>
      <c r="B2" s="5" t="s">
        <v>5</v>
      </c>
      <c r="C2" s="5" t="s">
        <v>6</v>
      </c>
      <c r="D2" s="6" t="s">
        <v>7</v>
      </c>
      <c r="E2" s="7"/>
      <c r="F2" s="8" t="s">
        <v>8</v>
      </c>
      <c r="G2" s="7"/>
      <c r="H2" s="8" t="s">
        <v>8</v>
      </c>
      <c r="I2" s="7"/>
      <c r="J2" s="8" t="s">
        <v>8</v>
      </c>
      <c r="K2" s="7"/>
      <c r="L2" s="8" t="s">
        <v>8</v>
      </c>
      <c r="M2" s="7"/>
      <c r="N2" s="8" t="s">
        <v>8</v>
      </c>
      <c r="O2" s="9"/>
    </row>
    <row r="3" spans="1:15" ht="12.75">
      <c r="A3" s="10" t="s">
        <v>9</v>
      </c>
      <c r="B3" s="11" t="s">
        <v>10</v>
      </c>
      <c r="C3" s="11">
        <v>1</v>
      </c>
      <c r="D3" s="12" t="s">
        <v>11</v>
      </c>
      <c r="E3" s="13">
        <f>10483.3+814</f>
        <v>11297.3</v>
      </c>
      <c r="F3" s="14"/>
      <c r="G3" s="13">
        <f>10483.3+814</f>
        <v>11297.3</v>
      </c>
      <c r="H3" s="14"/>
      <c r="I3" s="13">
        <f>10483.3+814</f>
        <v>11297.3</v>
      </c>
      <c r="J3" s="14"/>
      <c r="K3" s="149">
        <f>10501.4+850+576+159.5</f>
        <v>12086.9</v>
      </c>
      <c r="L3" s="152"/>
      <c r="M3" s="194">
        <f>10501.4+850+532+159.5+191</f>
        <v>12233.9</v>
      </c>
      <c r="N3" s="152" t="s">
        <v>171</v>
      </c>
      <c r="O3" s="15"/>
    </row>
    <row r="4" spans="1:15" ht="12.75">
      <c r="A4" s="20"/>
      <c r="B4" s="21"/>
      <c r="C4" s="17">
        <v>2</v>
      </c>
      <c r="D4" s="23" t="s">
        <v>12</v>
      </c>
      <c r="E4" s="19">
        <v>0</v>
      </c>
      <c r="F4" s="22"/>
      <c r="G4" s="19">
        <v>323</v>
      </c>
      <c r="H4" s="22"/>
      <c r="I4" s="19">
        <v>323</v>
      </c>
      <c r="J4" s="22"/>
      <c r="K4" s="150">
        <v>301.7</v>
      </c>
      <c r="L4" s="153"/>
      <c r="M4" s="150">
        <v>301.7</v>
      </c>
      <c r="N4" s="153"/>
      <c r="O4" s="15"/>
    </row>
    <row r="5" spans="1:15" ht="12.75">
      <c r="A5" s="20"/>
      <c r="B5" s="21"/>
      <c r="C5" s="17">
        <f aca="true" t="shared" si="0" ref="C5:C18">+C4+1</f>
        <v>3</v>
      </c>
      <c r="D5" s="24" t="s">
        <v>13</v>
      </c>
      <c r="E5" s="19">
        <v>0</v>
      </c>
      <c r="F5" s="22"/>
      <c r="G5" s="19">
        <v>100</v>
      </c>
      <c r="H5" s="22"/>
      <c r="I5" s="19">
        <v>150</v>
      </c>
      <c r="J5" s="22"/>
      <c r="K5" s="150">
        <f>205+85+23</f>
        <v>313</v>
      </c>
      <c r="L5" s="153"/>
      <c r="M5" s="179">
        <v>466</v>
      </c>
      <c r="N5" s="153"/>
      <c r="O5" s="15"/>
    </row>
    <row r="6" spans="1:15" ht="12.75">
      <c r="A6" s="20"/>
      <c r="B6" s="21"/>
      <c r="C6" s="17">
        <f t="shared" si="0"/>
        <v>4</v>
      </c>
      <c r="D6" s="24" t="s">
        <v>14</v>
      </c>
      <c r="E6" s="19">
        <v>0</v>
      </c>
      <c r="F6" s="22"/>
      <c r="G6" s="19">
        <v>0</v>
      </c>
      <c r="H6" s="22"/>
      <c r="I6" s="19">
        <v>100</v>
      </c>
      <c r="J6" s="22"/>
      <c r="K6" s="150">
        <f>80+8+71+8+65</f>
        <v>232</v>
      </c>
      <c r="L6" s="153"/>
      <c r="M6" s="179">
        <f>16+216+73</f>
        <v>305</v>
      </c>
      <c r="N6" s="153"/>
      <c r="O6" s="15"/>
    </row>
    <row r="7" spans="1:15" ht="12.75">
      <c r="A7" s="20"/>
      <c r="B7" s="21"/>
      <c r="C7" s="17">
        <f t="shared" si="0"/>
        <v>5</v>
      </c>
      <c r="D7" s="25" t="s">
        <v>15</v>
      </c>
      <c r="E7" s="19">
        <v>0</v>
      </c>
      <c r="F7" s="22"/>
      <c r="G7" s="19">
        <v>0</v>
      </c>
      <c r="H7" s="22"/>
      <c r="I7" s="19">
        <v>925</v>
      </c>
      <c r="J7" s="22"/>
      <c r="K7" s="150">
        <f>300+528</f>
        <v>828</v>
      </c>
      <c r="L7" s="153"/>
      <c r="M7" s="179">
        <f>300+528+185</f>
        <v>1013</v>
      </c>
      <c r="N7" s="153"/>
      <c r="O7" s="15"/>
    </row>
    <row r="8" spans="1:15" ht="12.75">
      <c r="A8" s="20"/>
      <c r="B8" s="21"/>
      <c r="C8" s="17">
        <f t="shared" si="0"/>
        <v>6</v>
      </c>
      <c r="D8" s="25" t="s">
        <v>16</v>
      </c>
      <c r="E8" s="19"/>
      <c r="F8" s="22"/>
      <c r="G8" s="19"/>
      <c r="H8" s="22"/>
      <c r="I8" s="19"/>
      <c r="J8" s="22"/>
      <c r="K8" s="150">
        <v>200</v>
      </c>
      <c r="L8" s="153"/>
      <c r="M8" s="150">
        <v>200</v>
      </c>
      <c r="N8" s="153"/>
      <c r="O8" s="15"/>
    </row>
    <row r="9" spans="1:15" ht="12.75">
      <c r="A9" s="20"/>
      <c r="B9" s="21"/>
      <c r="C9" s="17">
        <f t="shared" si="0"/>
        <v>7</v>
      </c>
      <c r="D9" s="25" t="s">
        <v>121</v>
      </c>
      <c r="E9" s="19"/>
      <c r="F9" s="22"/>
      <c r="G9" s="19"/>
      <c r="H9" s="22"/>
      <c r="I9" s="19"/>
      <c r="J9" s="22"/>
      <c r="K9" s="150">
        <v>284.5</v>
      </c>
      <c r="L9" s="153"/>
      <c r="M9" s="179">
        <v>0</v>
      </c>
      <c r="N9" s="153"/>
      <c r="O9" s="15"/>
    </row>
    <row r="10" spans="1:15" ht="12.75">
      <c r="A10" s="20"/>
      <c r="B10" s="21"/>
      <c r="C10" s="17">
        <f t="shared" si="0"/>
        <v>8</v>
      </c>
      <c r="D10" s="25" t="s">
        <v>147</v>
      </c>
      <c r="E10" s="19"/>
      <c r="F10" s="22"/>
      <c r="G10" s="19"/>
      <c r="H10" s="22"/>
      <c r="I10" s="19"/>
      <c r="J10" s="22"/>
      <c r="K10" s="150">
        <v>1383</v>
      </c>
      <c r="L10" s="153"/>
      <c r="M10" s="179">
        <v>0</v>
      </c>
      <c r="N10" s="153"/>
      <c r="O10" s="15"/>
    </row>
    <row r="11" spans="1:15" ht="12.75">
      <c r="A11" s="20"/>
      <c r="B11" s="21"/>
      <c r="C11" s="17">
        <f t="shared" si="0"/>
        <v>9</v>
      </c>
      <c r="D11" s="24" t="s">
        <v>133</v>
      </c>
      <c r="E11" s="19"/>
      <c r="F11" s="22"/>
      <c r="G11" s="19"/>
      <c r="H11" s="22"/>
      <c r="I11" s="19"/>
      <c r="J11" s="22"/>
      <c r="K11" s="150">
        <v>6067</v>
      </c>
      <c r="L11" s="153"/>
      <c r="M11" s="150">
        <v>6067</v>
      </c>
      <c r="N11" s="153"/>
      <c r="O11" s="15"/>
    </row>
    <row r="12" spans="1:15" ht="12.75">
      <c r="A12" s="20"/>
      <c r="B12" s="21"/>
      <c r="C12" s="17">
        <f t="shared" si="0"/>
        <v>10</v>
      </c>
      <c r="D12" s="25" t="s">
        <v>129</v>
      </c>
      <c r="E12" s="19"/>
      <c r="F12" s="22"/>
      <c r="G12" s="19"/>
      <c r="H12" s="22"/>
      <c r="I12" s="19"/>
      <c r="J12" s="22"/>
      <c r="K12" s="150">
        <v>390.2</v>
      </c>
      <c r="L12" s="153"/>
      <c r="M12" s="150">
        <v>390.2</v>
      </c>
      <c r="N12" s="153"/>
      <c r="O12" s="15"/>
    </row>
    <row r="13" spans="1:14" ht="12.75">
      <c r="A13" s="20"/>
      <c r="B13" s="21"/>
      <c r="C13" s="17">
        <f t="shared" si="0"/>
        <v>11</v>
      </c>
      <c r="D13" s="25" t="s">
        <v>146</v>
      </c>
      <c r="E13" s="19"/>
      <c r="F13" s="22"/>
      <c r="G13" s="19"/>
      <c r="H13" s="22"/>
      <c r="I13" s="19"/>
      <c r="J13" s="22"/>
      <c r="K13" s="150">
        <v>11103.9</v>
      </c>
      <c r="L13" s="153"/>
      <c r="M13" s="150">
        <v>11103.9</v>
      </c>
      <c r="N13" s="153"/>
    </row>
    <row r="14" spans="1:16" ht="12.75">
      <c r="A14" s="20"/>
      <c r="B14" s="21"/>
      <c r="C14" s="17">
        <f t="shared" si="0"/>
        <v>12</v>
      </c>
      <c r="D14" s="25" t="s">
        <v>157</v>
      </c>
      <c r="E14" s="19"/>
      <c r="F14" s="22"/>
      <c r="G14" s="19"/>
      <c r="H14" s="22"/>
      <c r="I14" s="19"/>
      <c r="J14" s="22"/>
      <c r="K14" s="150">
        <v>2962</v>
      </c>
      <c r="L14" s="153"/>
      <c r="M14" s="179">
        <v>0</v>
      </c>
      <c r="N14" s="153"/>
      <c r="O14" s="181">
        <f>SUM(M8:M17)+178.5</f>
        <v>18903.1</v>
      </c>
      <c r="P14" s="26" t="s">
        <v>17</v>
      </c>
    </row>
    <row r="15" spans="1:16" ht="12.75">
      <c r="A15" s="20"/>
      <c r="B15" s="21"/>
      <c r="C15" s="17">
        <f t="shared" si="0"/>
        <v>13</v>
      </c>
      <c r="D15" s="25" t="s">
        <v>152</v>
      </c>
      <c r="E15" s="19"/>
      <c r="F15" s="22"/>
      <c r="G15" s="19"/>
      <c r="H15" s="22"/>
      <c r="I15" s="19"/>
      <c r="J15" s="22"/>
      <c r="K15" s="150">
        <f>23.8+332.7</f>
        <v>356.5</v>
      </c>
      <c r="L15" s="153"/>
      <c r="M15" s="150">
        <f>23.8+332.7</f>
        <v>356.5</v>
      </c>
      <c r="N15" s="153"/>
      <c r="O15" s="181"/>
      <c r="P15" s="26"/>
    </row>
    <row r="16" spans="1:16" ht="12.75">
      <c r="A16" s="20"/>
      <c r="B16" s="21"/>
      <c r="C16" s="17">
        <f t="shared" si="0"/>
        <v>14</v>
      </c>
      <c r="D16" s="25" t="s">
        <v>160</v>
      </c>
      <c r="E16" s="19"/>
      <c r="F16" s="22"/>
      <c r="G16" s="19"/>
      <c r="H16" s="22"/>
      <c r="I16" s="19"/>
      <c r="J16" s="22"/>
      <c r="K16" s="150">
        <v>140</v>
      </c>
      <c r="L16" s="153"/>
      <c r="M16" s="150">
        <v>140</v>
      </c>
      <c r="N16" s="153"/>
      <c r="O16" s="181"/>
      <c r="P16" s="26"/>
    </row>
    <row r="17" spans="1:16" ht="12.75">
      <c r="A17" s="20"/>
      <c r="B17" s="21"/>
      <c r="C17" s="17">
        <f t="shared" si="0"/>
        <v>15</v>
      </c>
      <c r="D17" s="25" t="s">
        <v>150</v>
      </c>
      <c r="E17" s="19"/>
      <c r="F17" s="22"/>
      <c r="G17" s="19"/>
      <c r="H17" s="22"/>
      <c r="I17" s="19"/>
      <c r="J17" s="22"/>
      <c r="K17" s="150"/>
      <c r="L17" s="153"/>
      <c r="M17" s="179">
        <v>467</v>
      </c>
      <c r="N17" s="153"/>
      <c r="O17" s="181"/>
      <c r="P17" s="26"/>
    </row>
    <row r="18" spans="1:15" ht="12.75">
      <c r="A18" s="20"/>
      <c r="B18" s="21"/>
      <c r="C18" s="17">
        <f t="shared" si="0"/>
        <v>16</v>
      </c>
      <c r="D18" s="25" t="s">
        <v>124</v>
      </c>
      <c r="E18" s="27">
        <v>0</v>
      </c>
      <c r="F18" s="22"/>
      <c r="G18" s="27">
        <f>69+31</f>
        <v>100</v>
      </c>
      <c r="H18" s="22"/>
      <c r="I18" s="27">
        <v>9</v>
      </c>
      <c r="J18" s="22"/>
      <c r="K18" s="150">
        <f>178.5+155.8+20+200</f>
        <v>554.3</v>
      </c>
      <c r="L18" s="153"/>
      <c r="M18" s="179">
        <f>178.5+311.6+20+200.3+61.4</f>
        <v>771.8000000000001</v>
      </c>
      <c r="N18" s="153"/>
      <c r="O18" s="15"/>
    </row>
    <row r="19" spans="1:16" ht="13.5" thickBot="1">
      <c r="A19" s="28"/>
      <c r="B19" s="29"/>
      <c r="C19" s="29"/>
      <c r="D19" s="30" t="s">
        <v>8</v>
      </c>
      <c r="E19" s="31"/>
      <c r="F19" s="32">
        <f>SUM(E3:E18)</f>
        <v>11297.3</v>
      </c>
      <c r="G19" s="31"/>
      <c r="H19" s="32">
        <f>SUM(G3:G18)</f>
        <v>11820.3</v>
      </c>
      <c r="I19" s="31"/>
      <c r="J19" s="32">
        <f>SUM(I3:I18)</f>
        <v>12804.3</v>
      </c>
      <c r="K19" s="154"/>
      <c r="L19" s="182">
        <f>SUM(K3:K18)</f>
        <v>37203</v>
      </c>
      <c r="M19" s="154"/>
      <c r="N19" s="151">
        <f>SUM(M3:M18)</f>
        <v>33816</v>
      </c>
      <c r="O19" s="33"/>
      <c r="P19" s="181"/>
    </row>
    <row r="20" spans="1:15" ht="12.75">
      <c r="A20" s="34" t="s">
        <v>18</v>
      </c>
      <c r="B20" s="35" t="s">
        <v>19</v>
      </c>
      <c r="C20" s="35">
        <v>1</v>
      </c>
      <c r="D20" s="23" t="s">
        <v>20</v>
      </c>
      <c r="E20" s="36">
        <v>3000</v>
      </c>
      <c r="F20" s="37"/>
      <c r="G20" s="36">
        <v>3000</v>
      </c>
      <c r="H20" s="37"/>
      <c r="I20" s="36">
        <v>3000</v>
      </c>
      <c r="J20" s="37"/>
      <c r="K20" s="155">
        <v>2770</v>
      </c>
      <c r="L20" s="156"/>
      <c r="M20" s="155">
        <v>2770</v>
      </c>
      <c r="N20" s="156"/>
      <c r="O20" s="15"/>
    </row>
    <row r="21" spans="1:15" ht="12.75">
      <c r="A21" s="16"/>
      <c r="B21" s="17"/>
      <c r="C21" s="17">
        <v>2</v>
      </c>
      <c r="D21" s="18" t="s">
        <v>21</v>
      </c>
      <c r="E21" s="19">
        <f>6600+440+13700+550+5860</f>
        <v>27150</v>
      </c>
      <c r="F21" s="22"/>
      <c r="G21" s="19">
        <f>6600+440+13700+550+5860</f>
        <v>27150</v>
      </c>
      <c r="H21" s="22"/>
      <c r="I21" s="19">
        <f>6600+440+13700+550+5860</f>
        <v>27150</v>
      </c>
      <c r="J21" s="22"/>
      <c r="K21" s="150">
        <v>38133</v>
      </c>
      <c r="L21" s="153"/>
      <c r="M21" s="179">
        <v>41350</v>
      </c>
      <c r="N21" s="153"/>
      <c r="O21" s="15"/>
    </row>
    <row r="22" spans="1:15" ht="12.75">
      <c r="A22" s="16"/>
      <c r="B22" s="17"/>
      <c r="C22" s="17">
        <v>3</v>
      </c>
      <c r="D22" s="18" t="s">
        <v>22</v>
      </c>
      <c r="E22" s="27">
        <v>1000</v>
      </c>
      <c r="F22" s="22"/>
      <c r="G22" s="27">
        <v>570</v>
      </c>
      <c r="H22" s="22"/>
      <c r="I22" s="27">
        <v>570</v>
      </c>
      <c r="J22" s="22"/>
      <c r="K22" s="150">
        <v>1700</v>
      </c>
      <c r="L22" s="153"/>
      <c r="M22" s="150">
        <v>1700</v>
      </c>
      <c r="N22" s="153"/>
      <c r="O22" s="15"/>
    </row>
    <row r="23" spans="1:15" ht="13.5" thickBot="1">
      <c r="A23" s="28"/>
      <c r="B23" s="29"/>
      <c r="C23" s="29"/>
      <c r="D23" s="30" t="s">
        <v>23</v>
      </c>
      <c r="E23" s="31"/>
      <c r="F23" s="32">
        <f>SUM(E20:E22)</f>
        <v>31150</v>
      </c>
      <c r="G23" s="31"/>
      <c r="H23" s="32">
        <f>SUM(G20:G22)</f>
        <v>30720</v>
      </c>
      <c r="I23" s="31"/>
      <c r="J23" s="32">
        <f>SUM(I20:I22)</f>
        <v>30720</v>
      </c>
      <c r="K23" s="154"/>
      <c r="L23" s="182">
        <f>SUM(K20:K22)</f>
        <v>42603</v>
      </c>
      <c r="M23" s="154"/>
      <c r="N23" s="151">
        <f>SUM(M20:M22)</f>
        <v>45820</v>
      </c>
      <c r="O23" s="33"/>
    </row>
    <row r="24" spans="1:15" ht="12.75">
      <c r="A24" s="16" t="s">
        <v>24</v>
      </c>
      <c r="B24" s="35" t="s">
        <v>25</v>
      </c>
      <c r="C24" s="17">
        <v>1</v>
      </c>
      <c r="D24" s="18" t="s">
        <v>26</v>
      </c>
      <c r="E24" s="27">
        <v>1250</v>
      </c>
      <c r="F24" s="22"/>
      <c r="G24" s="27">
        <v>1250</v>
      </c>
      <c r="H24" s="22"/>
      <c r="I24" s="27">
        <v>1250</v>
      </c>
      <c r="J24" s="22"/>
      <c r="K24" s="150">
        <v>1170</v>
      </c>
      <c r="L24" s="153"/>
      <c r="M24" s="150">
        <v>1170</v>
      </c>
      <c r="N24" s="153"/>
      <c r="O24" s="15"/>
    </row>
    <row r="25" spans="1:15" ht="12.75">
      <c r="A25" s="16"/>
      <c r="B25" s="17"/>
      <c r="C25" s="17">
        <f aca="true" t="shared" si="1" ref="C25:C34">+C24+1</f>
        <v>2</v>
      </c>
      <c r="D25" s="18" t="s">
        <v>27</v>
      </c>
      <c r="E25" s="27">
        <v>350</v>
      </c>
      <c r="F25" s="22"/>
      <c r="G25" s="27">
        <v>350</v>
      </c>
      <c r="H25" s="22"/>
      <c r="I25" s="27">
        <v>350</v>
      </c>
      <c r="J25" s="22"/>
      <c r="K25" s="150">
        <v>260</v>
      </c>
      <c r="L25" s="153"/>
      <c r="M25" s="179">
        <v>350</v>
      </c>
      <c r="N25" s="153"/>
      <c r="O25" s="15"/>
    </row>
    <row r="26" spans="1:15" ht="12.75">
      <c r="A26" s="16"/>
      <c r="B26" s="17"/>
      <c r="C26" s="17">
        <f t="shared" si="1"/>
        <v>3</v>
      </c>
      <c r="D26" s="18" t="s">
        <v>28</v>
      </c>
      <c r="E26" s="27">
        <v>130</v>
      </c>
      <c r="F26" s="22"/>
      <c r="G26" s="27">
        <v>130</v>
      </c>
      <c r="H26" s="22"/>
      <c r="I26" s="27">
        <v>130</v>
      </c>
      <c r="J26" s="22"/>
      <c r="K26" s="150">
        <v>120</v>
      </c>
      <c r="L26" s="153"/>
      <c r="M26" s="150">
        <v>120</v>
      </c>
      <c r="N26" s="153"/>
      <c r="O26" s="15"/>
    </row>
    <row r="27" spans="1:15" ht="12.75">
      <c r="A27" s="16"/>
      <c r="B27" s="17"/>
      <c r="C27" s="17">
        <f t="shared" si="1"/>
        <v>4</v>
      </c>
      <c r="D27" s="18" t="s">
        <v>29</v>
      </c>
      <c r="E27" s="27">
        <v>240</v>
      </c>
      <c r="F27" s="22"/>
      <c r="G27" s="27">
        <v>240</v>
      </c>
      <c r="H27" s="22"/>
      <c r="I27" s="27">
        <v>240</v>
      </c>
      <c r="J27" s="22"/>
      <c r="K27" s="150">
        <v>450</v>
      </c>
      <c r="L27" s="153"/>
      <c r="M27" s="179">
        <v>850</v>
      </c>
      <c r="N27" s="153"/>
      <c r="O27" s="15"/>
    </row>
    <row r="28" spans="1:15" ht="12.75">
      <c r="A28" s="16"/>
      <c r="B28" s="17"/>
      <c r="C28" s="17">
        <f t="shared" si="1"/>
        <v>5</v>
      </c>
      <c r="D28" s="18" t="s">
        <v>30</v>
      </c>
      <c r="E28" s="27">
        <v>220</v>
      </c>
      <c r="F28" s="22"/>
      <c r="G28" s="27">
        <v>220</v>
      </c>
      <c r="H28" s="22"/>
      <c r="I28" s="27">
        <v>220</v>
      </c>
      <c r="J28" s="22"/>
      <c r="K28" s="150">
        <v>110</v>
      </c>
      <c r="L28" s="153"/>
      <c r="M28" s="150">
        <v>110</v>
      </c>
      <c r="N28" s="153"/>
      <c r="O28" s="15"/>
    </row>
    <row r="29" spans="1:15" ht="12.75">
      <c r="A29" s="16"/>
      <c r="B29" s="17" t="s">
        <v>31</v>
      </c>
      <c r="C29" s="17">
        <f t="shared" si="1"/>
        <v>6</v>
      </c>
      <c r="D29" s="18" t="s">
        <v>32</v>
      </c>
      <c r="E29" s="27">
        <v>1800</v>
      </c>
      <c r="F29" s="22"/>
      <c r="G29" s="27">
        <v>1800</v>
      </c>
      <c r="H29" s="22"/>
      <c r="I29" s="27">
        <v>1800</v>
      </c>
      <c r="J29" s="22"/>
      <c r="K29" s="150">
        <v>3000</v>
      </c>
      <c r="L29" s="153"/>
      <c r="M29" s="150">
        <v>3000</v>
      </c>
      <c r="N29" s="153"/>
      <c r="O29" s="15"/>
    </row>
    <row r="30" spans="1:15" ht="12.75">
      <c r="A30" s="16"/>
      <c r="B30" s="17" t="s">
        <v>33</v>
      </c>
      <c r="C30" s="17">
        <f t="shared" si="1"/>
        <v>7</v>
      </c>
      <c r="D30" s="18" t="s">
        <v>34</v>
      </c>
      <c r="E30" s="27">
        <v>112</v>
      </c>
      <c r="F30" s="22"/>
      <c r="G30" s="27">
        <v>112</v>
      </c>
      <c r="H30" s="22"/>
      <c r="I30" s="27">
        <v>112</v>
      </c>
      <c r="J30" s="22"/>
      <c r="K30" s="150">
        <v>112</v>
      </c>
      <c r="L30" s="153"/>
      <c r="M30" s="150">
        <v>112</v>
      </c>
      <c r="N30" s="153"/>
      <c r="O30" s="15"/>
    </row>
    <row r="31" spans="1:15" ht="12.75">
      <c r="A31" s="16"/>
      <c r="B31" s="17"/>
      <c r="C31" s="17">
        <f t="shared" si="1"/>
        <v>8</v>
      </c>
      <c r="D31" s="18" t="s">
        <v>35</v>
      </c>
      <c r="E31" s="27">
        <v>198</v>
      </c>
      <c r="F31" s="22"/>
      <c r="G31" s="27">
        <v>198</v>
      </c>
      <c r="H31" s="22"/>
      <c r="I31" s="27">
        <v>198</v>
      </c>
      <c r="J31" s="22"/>
      <c r="K31" s="150">
        <v>198</v>
      </c>
      <c r="L31" s="153"/>
      <c r="M31" s="150">
        <v>198</v>
      </c>
      <c r="N31" s="153"/>
      <c r="O31" s="15"/>
    </row>
    <row r="32" spans="1:16" ht="12.75">
      <c r="A32" s="16"/>
      <c r="B32" s="17"/>
      <c r="C32" s="17">
        <f t="shared" si="1"/>
        <v>9</v>
      </c>
      <c r="D32" s="18" t="s">
        <v>36</v>
      </c>
      <c r="E32" s="27">
        <v>60</v>
      </c>
      <c r="F32" s="22"/>
      <c r="G32" s="27">
        <v>60</v>
      </c>
      <c r="H32" s="22"/>
      <c r="I32" s="27">
        <v>60</v>
      </c>
      <c r="J32" s="22"/>
      <c r="K32" s="150">
        <v>60</v>
      </c>
      <c r="L32" s="153"/>
      <c r="M32" s="150">
        <v>60</v>
      </c>
      <c r="N32" s="153"/>
      <c r="O32" s="15"/>
      <c r="P32">
        <f>4300*50</f>
        <v>215000</v>
      </c>
    </row>
    <row r="33" spans="1:16" ht="12.75">
      <c r="A33" s="20"/>
      <c r="B33" s="21"/>
      <c r="C33" s="17">
        <f t="shared" si="1"/>
        <v>10</v>
      </c>
      <c r="D33" s="25" t="s">
        <v>37</v>
      </c>
      <c r="E33" s="38">
        <v>2135</v>
      </c>
      <c r="F33" s="39"/>
      <c r="G33" s="38">
        <v>2135</v>
      </c>
      <c r="H33" s="39"/>
      <c r="I33" s="38">
        <v>2135</v>
      </c>
      <c r="J33" s="39"/>
      <c r="K33" s="157">
        <v>3150</v>
      </c>
      <c r="L33" s="158"/>
      <c r="M33" s="157">
        <v>3150</v>
      </c>
      <c r="N33" s="158"/>
      <c r="O33" s="15"/>
      <c r="P33">
        <f>30*350</f>
        <v>10500</v>
      </c>
    </row>
    <row r="34" spans="1:15" ht="12.75">
      <c r="A34" s="20"/>
      <c r="B34" s="21" t="s">
        <v>38</v>
      </c>
      <c r="C34" s="17">
        <f t="shared" si="1"/>
        <v>11</v>
      </c>
      <c r="D34" s="25" t="s">
        <v>39</v>
      </c>
      <c r="E34" s="38">
        <v>170</v>
      </c>
      <c r="F34" s="39"/>
      <c r="G34" s="38">
        <v>170</v>
      </c>
      <c r="H34" s="39"/>
      <c r="I34" s="38">
        <v>170</v>
      </c>
      <c r="J34" s="39"/>
      <c r="K34" s="157">
        <v>100</v>
      </c>
      <c r="L34" s="158"/>
      <c r="M34" s="157">
        <v>100</v>
      </c>
      <c r="N34" s="158"/>
      <c r="O34" s="15"/>
    </row>
    <row r="35" spans="1:15" ht="13.5" thickBot="1">
      <c r="A35" s="28"/>
      <c r="B35" s="29"/>
      <c r="C35" s="29"/>
      <c r="D35" s="30" t="s">
        <v>23</v>
      </c>
      <c r="E35" s="31"/>
      <c r="F35" s="40">
        <f>SUM(E24:E34)</f>
        <v>6665</v>
      </c>
      <c r="G35" s="31"/>
      <c r="H35" s="40">
        <f>SUM(G24:G34)</f>
        <v>6665</v>
      </c>
      <c r="I35" s="31"/>
      <c r="J35" s="40">
        <f>SUM(I24:I34)</f>
        <v>6665</v>
      </c>
      <c r="K35" s="154"/>
      <c r="L35" s="182">
        <f>SUM(K24:K34)</f>
        <v>8730</v>
      </c>
      <c r="M35" s="154"/>
      <c r="N35" s="151">
        <f>SUM(M24:M34)</f>
        <v>9220</v>
      </c>
      <c r="O35" s="15"/>
    </row>
    <row r="36" spans="1:15" ht="12.75">
      <c r="A36" s="10" t="s">
        <v>40</v>
      </c>
      <c r="B36" s="11" t="s">
        <v>41</v>
      </c>
      <c r="C36" s="11">
        <v>1</v>
      </c>
      <c r="D36" s="12" t="s">
        <v>42</v>
      </c>
      <c r="E36" s="41">
        <v>238</v>
      </c>
      <c r="F36" s="14"/>
      <c r="G36" s="41">
        <v>238</v>
      </c>
      <c r="H36" s="14"/>
      <c r="I36" s="41">
        <v>238</v>
      </c>
      <c r="J36" s="14"/>
      <c r="K36" s="159">
        <v>212</v>
      </c>
      <c r="L36" s="152"/>
      <c r="M36" s="197">
        <v>112</v>
      </c>
      <c r="N36" s="152"/>
      <c r="O36" s="15"/>
    </row>
    <row r="37" spans="1:15" ht="12.75">
      <c r="A37" s="16"/>
      <c r="B37" s="17" t="s">
        <v>43</v>
      </c>
      <c r="C37" s="17">
        <v>2</v>
      </c>
      <c r="D37" s="18" t="s">
        <v>44</v>
      </c>
      <c r="E37" s="27">
        <v>4000</v>
      </c>
      <c r="F37" s="22"/>
      <c r="G37" s="27">
        <v>4000</v>
      </c>
      <c r="H37" s="22"/>
      <c r="I37" s="27">
        <v>3950</v>
      </c>
      <c r="J37" s="22"/>
      <c r="K37" s="150">
        <v>1550</v>
      </c>
      <c r="L37" s="153"/>
      <c r="M37" s="179">
        <v>1400</v>
      </c>
      <c r="N37" s="153"/>
      <c r="O37" s="15"/>
    </row>
    <row r="38" spans="1:15" ht="12.75">
      <c r="A38" s="20"/>
      <c r="B38" s="21"/>
      <c r="C38" s="17">
        <v>3</v>
      </c>
      <c r="D38" s="25" t="s">
        <v>132</v>
      </c>
      <c r="E38" s="38">
        <v>2500</v>
      </c>
      <c r="F38" s="39"/>
      <c r="G38" s="38">
        <v>2500</v>
      </c>
      <c r="H38" s="39"/>
      <c r="I38" s="38">
        <v>2550</v>
      </c>
      <c r="J38" s="39"/>
      <c r="K38" s="157">
        <v>1112</v>
      </c>
      <c r="L38" s="158"/>
      <c r="M38" s="157">
        <v>1112</v>
      </c>
      <c r="N38" s="158"/>
      <c r="O38" s="15"/>
    </row>
    <row r="39" spans="1:15" ht="12.75">
      <c r="A39" s="20"/>
      <c r="B39" s="21"/>
      <c r="C39" s="17">
        <v>4</v>
      </c>
      <c r="D39" s="25" t="s">
        <v>45</v>
      </c>
      <c r="E39" s="38">
        <f>24*12</f>
        <v>288</v>
      </c>
      <c r="F39" s="39"/>
      <c r="G39" s="38">
        <f>24*12</f>
        <v>288</v>
      </c>
      <c r="H39" s="39"/>
      <c r="I39" s="38">
        <f>24*12</f>
        <v>288</v>
      </c>
      <c r="J39" s="39"/>
      <c r="K39" s="157">
        <v>211</v>
      </c>
      <c r="L39" s="158"/>
      <c r="M39" s="196">
        <v>226</v>
      </c>
      <c r="N39" s="158"/>
      <c r="O39" s="15"/>
    </row>
    <row r="40" spans="1:15" ht="12.75">
      <c r="A40" s="20"/>
      <c r="B40" s="21"/>
      <c r="C40" s="17">
        <v>5</v>
      </c>
      <c r="D40" s="25" t="s">
        <v>149</v>
      </c>
      <c r="E40" s="38"/>
      <c r="F40" s="39"/>
      <c r="G40" s="38"/>
      <c r="H40" s="39"/>
      <c r="I40" s="38"/>
      <c r="J40" s="39"/>
      <c r="K40" s="157">
        <v>1050</v>
      </c>
      <c r="L40" s="158"/>
      <c r="M40" s="196">
        <f>242+1300-1277</f>
        <v>265</v>
      </c>
      <c r="N40" s="158"/>
      <c r="O40" s="15"/>
    </row>
    <row r="41" spans="1:15" ht="13.5" thickBot="1">
      <c r="A41" s="28"/>
      <c r="B41" s="29"/>
      <c r="C41" s="29"/>
      <c r="D41" s="30" t="s">
        <v>23</v>
      </c>
      <c r="E41" s="31"/>
      <c r="F41" s="40">
        <f>SUM(E36:E39)</f>
        <v>7026</v>
      </c>
      <c r="G41" s="31"/>
      <c r="H41" s="40">
        <f>SUM(G36:G39)</f>
        <v>7026</v>
      </c>
      <c r="I41" s="31"/>
      <c r="J41" s="40">
        <f>SUM(I36:I39)</f>
        <v>7026</v>
      </c>
      <c r="K41" s="154"/>
      <c r="L41" s="182">
        <f>SUM(K36:K40)</f>
        <v>4135</v>
      </c>
      <c r="M41" s="154"/>
      <c r="N41" s="151">
        <f>SUM(M36:M40)</f>
        <v>3115</v>
      </c>
      <c r="O41" s="15"/>
    </row>
    <row r="42" spans="1:15" ht="12.75">
      <c r="A42" s="10" t="s">
        <v>46</v>
      </c>
      <c r="B42" s="42" t="s">
        <v>47</v>
      </c>
      <c r="C42" s="42">
        <v>1</v>
      </c>
      <c r="D42" s="12" t="s">
        <v>48</v>
      </c>
      <c r="E42" s="41">
        <v>134</v>
      </c>
      <c r="F42" s="14"/>
      <c r="G42" s="41">
        <v>134</v>
      </c>
      <c r="H42" s="14"/>
      <c r="I42" s="41">
        <v>134</v>
      </c>
      <c r="J42" s="14"/>
      <c r="K42" s="159">
        <v>134</v>
      </c>
      <c r="L42" s="152"/>
      <c r="M42" s="159">
        <v>134</v>
      </c>
      <c r="N42" s="152"/>
      <c r="O42" s="15"/>
    </row>
    <row r="43" spans="1:15" ht="12.75">
      <c r="A43" s="34"/>
      <c r="B43" s="43"/>
      <c r="C43" s="43">
        <v>2</v>
      </c>
      <c r="D43" s="23" t="s">
        <v>49</v>
      </c>
      <c r="E43" s="36">
        <v>300</v>
      </c>
      <c r="F43" s="37"/>
      <c r="G43" s="36">
        <v>350</v>
      </c>
      <c r="H43" s="37"/>
      <c r="I43" s="36">
        <v>350</v>
      </c>
      <c r="J43" s="37"/>
      <c r="K43" s="155">
        <v>350</v>
      </c>
      <c r="L43" s="156"/>
      <c r="M43" s="155">
        <v>350</v>
      </c>
      <c r="N43" s="156"/>
      <c r="O43" s="15"/>
    </row>
    <row r="44" spans="1:15" ht="12.75">
      <c r="A44" s="16"/>
      <c r="B44" s="44"/>
      <c r="C44" s="44">
        <v>3</v>
      </c>
      <c r="D44" s="18" t="s">
        <v>50</v>
      </c>
      <c r="E44" s="27">
        <v>446</v>
      </c>
      <c r="F44" s="22"/>
      <c r="G44" s="27">
        <v>446</v>
      </c>
      <c r="H44" s="22"/>
      <c r="I44" s="27">
        <v>446</v>
      </c>
      <c r="J44" s="22"/>
      <c r="K44" s="150">
        <f>446-112</f>
        <v>334</v>
      </c>
      <c r="L44" s="153"/>
      <c r="M44" s="150">
        <f>446-112</f>
        <v>334</v>
      </c>
      <c r="N44" s="153"/>
      <c r="O44" s="15"/>
    </row>
    <row r="45" spans="1:15" ht="12.75">
      <c r="A45" s="20"/>
      <c r="B45" s="45"/>
      <c r="C45" s="45">
        <v>4</v>
      </c>
      <c r="D45" s="25" t="s">
        <v>51</v>
      </c>
      <c r="E45" s="46">
        <f>120+418</f>
        <v>538</v>
      </c>
      <c r="F45" s="39"/>
      <c r="G45" s="46">
        <f>120+418</f>
        <v>538</v>
      </c>
      <c r="H45" s="39"/>
      <c r="I45" s="46">
        <f>120+418</f>
        <v>538</v>
      </c>
      <c r="J45" s="39"/>
      <c r="K45" s="157">
        <v>3535</v>
      </c>
      <c r="L45" s="158"/>
      <c r="M45" s="157">
        <v>3535</v>
      </c>
      <c r="N45" s="158"/>
      <c r="O45" s="15"/>
    </row>
    <row r="46" spans="1:15" ht="13.5" thickBot="1">
      <c r="A46" s="28"/>
      <c r="B46" s="47"/>
      <c r="C46" s="47"/>
      <c r="D46" s="30" t="s">
        <v>23</v>
      </c>
      <c r="E46" s="31"/>
      <c r="F46" s="40">
        <f>SUM(E42:E45)</f>
        <v>1418</v>
      </c>
      <c r="G46" s="31"/>
      <c r="H46" s="40">
        <f>SUM(G42:G45)</f>
        <v>1468</v>
      </c>
      <c r="I46" s="31"/>
      <c r="J46" s="40">
        <f>SUM(I42:I45)</f>
        <v>1468</v>
      </c>
      <c r="K46" s="154"/>
      <c r="L46" s="182">
        <f>SUM(K42:K45)</f>
        <v>4353</v>
      </c>
      <c r="M46" s="154"/>
      <c r="N46" s="182">
        <f>SUM(M42:M45)</f>
        <v>4353</v>
      </c>
      <c r="O46" s="15"/>
    </row>
    <row r="47" spans="1:15" ht="13.5" thickBot="1">
      <c r="A47" s="48" t="s">
        <v>52</v>
      </c>
      <c r="B47" s="49" t="s">
        <v>53</v>
      </c>
      <c r="C47" s="49"/>
      <c r="D47" s="50"/>
      <c r="E47" s="51">
        <v>1100</v>
      </c>
      <c r="F47" s="52">
        <f>SUM(E47)</f>
        <v>1100</v>
      </c>
      <c r="G47" s="51">
        <v>1500</v>
      </c>
      <c r="H47" s="52">
        <f>SUM(G47)</f>
        <v>1500</v>
      </c>
      <c r="I47" s="51">
        <v>1650</v>
      </c>
      <c r="J47" s="52">
        <f>SUM(I47)</f>
        <v>1650</v>
      </c>
      <c r="K47" s="160">
        <v>1650</v>
      </c>
      <c r="L47" s="183">
        <f>SUM(K47)</f>
        <v>1650</v>
      </c>
      <c r="M47" s="195">
        <f>1650+485+110</f>
        <v>2245</v>
      </c>
      <c r="N47" s="161">
        <f>SUM(M47)</f>
        <v>2245</v>
      </c>
      <c r="O47" s="15"/>
    </row>
    <row r="48" spans="1:15" ht="13.5" thickBot="1">
      <c r="A48" s="48" t="s">
        <v>54</v>
      </c>
      <c r="B48" s="49" t="s">
        <v>55</v>
      </c>
      <c r="C48" s="49"/>
      <c r="D48" s="50"/>
      <c r="E48" s="51">
        <v>400</v>
      </c>
      <c r="F48" s="52">
        <f>SUM(E48)</f>
        <v>400</v>
      </c>
      <c r="G48" s="51">
        <v>400</v>
      </c>
      <c r="H48" s="52">
        <f>SUM(G48)</f>
        <v>400</v>
      </c>
      <c r="I48" s="51">
        <v>400</v>
      </c>
      <c r="J48" s="52">
        <f>SUM(I48)</f>
        <v>400</v>
      </c>
      <c r="K48" s="160">
        <v>750</v>
      </c>
      <c r="L48" s="183">
        <f>SUM(K48)</f>
        <v>750</v>
      </c>
      <c r="M48" s="195">
        <v>753</v>
      </c>
      <c r="N48" s="161">
        <f>SUM(M48)</f>
        <v>753</v>
      </c>
      <c r="O48" s="15"/>
    </row>
    <row r="49" spans="1:15" ht="12.75">
      <c r="A49" s="34" t="s">
        <v>56</v>
      </c>
      <c r="B49" s="43" t="s">
        <v>57</v>
      </c>
      <c r="C49" s="43">
        <v>1</v>
      </c>
      <c r="D49" s="23" t="s">
        <v>58</v>
      </c>
      <c r="E49" s="36">
        <v>650</v>
      </c>
      <c r="F49" s="37"/>
      <c r="G49" s="36">
        <v>700</v>
      </c>
      <c r="H49" s="37"/>
      <c r="I49" s="36">
        <f>713+92+50</f>
        <v>855</v>
      </c>
      <c r="J49" s="37"/>
      <c r="K49" s="155">
        <v>850</v>
      </c>
      <c r="L49" s="156"/>
      <c r="M49" s="155">
        <v>850</v>
      </c>
      <c r="N49" s="156"/>
      <c r="O49" s="15"/>
    </row>
    <row r="50" spans="1:15" ht="12.75">
      <c r="A50" s="34"/>
      <c r="B50" s="43"/>
      <c r="C50" s="43">
        <f>+C49+1</f>
        <v>2</v>
      </c>
      <c r="D50" s="23" t="s">
        <v>59</v>
      </c>
      <c r="E50" s="36">
        <v>1050</v>
      </c>
      <c r="F50" s="37"/>
      <c r="G50" s="36">
        <v>1050</v>
      </c>
      <c r="H50" s="37"/>
      <c r="I50" s="36">
        <v>1050</v>
      </c>
      <c r="J50" s="37"/>
      <c r="K50" s="155">
        <v>950</v>
      </c>
      <c r="L50" s="156"/>
      <c r="M50" s="155">
        <v>950</v>
      </c>
      <c r="N50" s="156"/>
      <c r="O50" s="15"/>
    </row>
    <row r="51" spans="1:15" ht="12.75">
      <c r="A51" s="34"/>
      <c r="B51" s="43"/>
      <c r="C51" s="43">
        <f>+C50+1</f>
        <v>3</v>
      </c>
      <c r="D51" s="23" t="s">
        <v>60</v>
      </c>
      <c r="E51" s="36">
        <v>550</v>
      </c>
      <c r="F51" s="37"/>
      <c r="G51" s="36">
        <v>550</v>
      </c>
      <c r="H51" s="37"/>
      <c r="I51" s="36">
        <v>550</v>
      </c>
      <c r="J51" s="37"/>
      <c r="K51" s="155">
        <v>390</v>
      </c>
      <c r="L51" s="156"/>
      <c r="M51" s="190">
        <v>440</v>
      </c>
      <c r="N51" s="156"/>
      <c r="O51" s="15"/>
    </row>
    <row r="52" spans="1:15" ht="12.75">
      <c r="A52" s="34"/>
      <c r="B52" s="43"/>
      <c r="C52" s="43">
        <f>+C51+1</f>
        <v>4</v>
      </c>
      <c r="D52" s="23" t="s">
        <v>159</v>
      </c>
      <c r="E52" s="36"/>
      <c r="F52" s="37"/>
      <c r="G52" s="36"/>
      <c r="H52" s="37"/>
      <c r="I52" s="36"/>
      <c r="J52" s="37"/>
      <c r="K52" s="155">
        <v>240</v>
      </c>
      <c r="L52" s="156"/>
      <c r="M52" s="190">
        <v>250</v>
      </c>
      <c r="N52" s="156"/>
      <c r="O52" s="15"/>
    </row>
    <row r="53" spans="1:15" ht="12.75">
      <c r="A53" s="34"/>
      <c r="B53" s="43"/>
      <c r="C53" s="43">
        <f>+C52+1</f>
        <v>5</v>
      </c>
      <c r="D53" s="18" t="s">
        <v>61</v>
      </c>
      <c r="E53" s="27">
        <v>762</v>
      </c>
      <c r="F53" s="37"/>
      <c r="G53" s="27">
        <v>762</v>
      </c>
      <c r="H53" s="37"/>
      <c r="I53" s="27">
        <v>762</v>
      </c>
      <c r="J53" s="37"/>
      <c r="K53" s="150">
        <v>900</v>
      </c>
      <c r="L53" s="156"/>
      <c r="M53" s="179">
        <v>950</v>
      </c>
      <c r="N53" s="156"/>
      <c r="O53" s="15"/>
    </row>
    <row r="54" spans="1:15" ht="13.5" thickBot="1">
      <c r="A54" s="28"/>
      <c r="B54" s="47"/>
      <c r="C54" s="47"/>
      <c r="D54" s="30" t="s">
        <v>23</v>
      </c>
      <c r="E54" s="31"/>
      <c r="F54" s="40">
        <f>SUM(E49:E53)</f>
        <v>3012</v>
      </c>
      <c r="G54" s="31"/>
      <c r="H54" s="40">
        <f>SUM(G49:G53)</f>
        <v>3062</v>
      </c>
      <c r="I54" s="31"/>
      <c r="J54" s="40">
        <f>SUM(I49:I53)</f>
        <v>3217</v>
      </c>
      <c r="K54" s="154"/>
      <c r="L54" s="182">
        <f>SUM(K49:K53)</f>
        <v>3330</v>
      </c>
      <c r="M54" s="154"/>
      <c r="N54" s="151">
        <f>SUM(M49:M53)</f>
        <v>3440</v>
      </c>
      <c r="O54" s="15"/>
    </row>
    <row r="55" spans="1:15" ht="13.5" thickBot="1">
      <c r="A55" s="53" t="s">
        <v>62</v>
      </c>
      <c r="B55" s="49" t="s">
        <v>63</v>
      </c>
      <c r="C55" s="49"/>
      <c r="D55" s="50"/>
      <c r="E55" s="54">
        <v>610</v>
      </c>
      <c r="F55" s="52">
        <f>SUM(E55)</f>
        <v>610</v>
      </c>
      <c r="G55" s="54">
        <v>610</v>
      </c>
      <c r="H55" s="52">
        <f>SUM(G55)</f>
        <v>610</v>
      </c>
      <c r="I55" s="54">
        <v>610</v>
      </c>
      <c r="J55" s="52">
        <f>SUM(I55)</f>
        <v>610</v>
      </c>
      <c r="K55" s="160">
        <v>630</v>
      </c>
      <c r="L55" s="183">
        <f>SUM(K55)</f>
        <v>630</v>
      </c>
      <c r="M55" s="195">
        <v>650</v>
      </c>
      <c r="N55" s="161">
        <f>SUM(M55)</f>
        <v>650</v>
      </c>
      <c r="O55" s="15"/>
    </row>
    <row r="56" spans="1:15" ht="12.75">
      <c r="A56" s="55"/>
      <c r="B56" s="42" t="s">
        <v>64</v>
      </c>
      <c r="C56" s="42"/>
      <c r="D56" s="12"/>
      <c r="E56" s="41"/>
      <c r="F56" s="56">
        <f>SUM(F3:F55)</f>
        <v>62678.3</v>
      </c>
      <c r="G56" s="41"/>
      <c r="H56" s="56">
        <f>SUM(H3:H55)</f>
        <v>63271.3</v>
      </c>
      <c r="I56" s="41"/>
      <c r="J56" s="56">
        <f>SUM(J3:J55)</f>
        <v>64560.3</v>
      </c>
      <c r="K56" s="159"/>
      <c r="L56" s="143">
        <f>SUM(L3:L55)</f>
        <v>103384</v>
      </c>
      <c r="M56" s="159"/>
      <c r="N56" s="143">
        <f>SUM(N3:N55)</f>
        <v>103412</v>
      </c>
      <c r="O56" s="57"/>
    </row>
    <row r="57" spans="1:16" ht="13.5" thickBot="1">
      <c r="A57" s="58"/>
      <c r="B57" s="47" t="s">
        <v>65</v>
      </c>
      <c r="C57" s="47"/>
      <c r="D57" s="30"/>
      <c r="E57" s="31"/>
      <c r="F57" s="59">
        <f>+F56-610</f>
        <v>62068.3</v>
      </c>
      <c r="G57" s="31"/>
      <c r="H57" s="59">
        <f>+H56-610</f>
        <v>62661.3</v>
      </c>
      <c r="I57" s="31"/>
      <c r="J57" s="59">
        <f>+J56-610</f>
        <v>63950.3</v>
      </c>
      <c r="K57" s="154"/>
      <c r="L57" s="144">
        <f>+L56-630</f>
        <v>102754</v>
      </c>
      <c r="M57" s="154"/>
      <c r="N57" s="144">
        <f>+N56-650</f>
        <v>102762</v>
      </c>
      <c r="O57" s="26">
        <f>+N57-N41-O14</f>
        <v>80743.9</v>
      </c>
      <c r="P57" t="s">
        <v>66</v>
      </c>
    </row>
    <row r="58" spans="1:15" ht="18.75" thickBot="1">
      <c r="A58" s="1" t="s">
        <v>67</v>
      </c>
      <c r="B58" s="60"/>
      <c r="C58" s="60"/>
      <c r="D58" s="60"/>
      <c r="E58" s="203" t="s">
        <v>1</v>
      </c>
      <c r="F58" s="204"/>
      <c r="G58" s="203" t="s">
        <v>2</v>
      </c>
      <c r="H58" s="204"/>
      <c r="I58" s="203" t="s">
        <v>3</v>
      </c>
      <c r="J58" s="204"/>
      <c r="K58" s="201" t="s">
        <v>161</v>
      </c>
      <c r="L58" s="202"/>
      <c r="M58" s="201" t="s">
        <v>163</v>
      </c>
      <c r="N58" s="202"/>
      <c r="O58" s="3"/>
    </row>
    <row r="59" spans="1:15" ht="13.5" thickBot="1">
      <c r="A59" s="61" t="s">
        <v>4</v>
      </c>
      <c r="B59" s="62" t="s">
        <v>5</v>
      </c>
      <c r="C59" s="62" t="s">
        <v>6</v>
      </c>
      <c r="D59" s="63" t="s">
        <v>7</v>
      </c>
      <c r="E59" s="64"/>
      <c r="F59" s="65" t="s">
        <v>8</v>
      </c>
      <c r="G59" s="64"/>
      <c r="H59" s="65" t="s">
        <v>8</v>
      </c>
      <c r="I59" s="64"/>
      <c r="J59" s="65" t="s">
        <v>8</v>
      </c>
      <c r="K59" s="64"/>
      <c r="L59" s="65" t="s">
        <v>8</v>
      </c>
      <c r="M59" s="64"/>
      <c r="N59" s="65" t="s">
        <v>8</v>
      </c>
      <c r="O59" s="66"/>
    </row>
    <row r="60" spans="1:15" ht="12.75">
      <c r="A60" s="10" t="s">
        <v>9</v>
      </c>
      <c r="B60" s="42" t="s">
        <v>68</v>
      </c>
      <c r="C60" s="42">
        <v>1</v>
      </c>
      <c r="D60" s="12" t="s">
        <v>142</v>
      </c>
      <c r="E60" s="67">
        <v>2627</v>
      </c>
      <c r="F60" s="68"/>
      <c r="G60" s="67">
        <v>2627</v>
      </c>
      <c r="H60" s="68"/>
      <c r="I60" s="67">
        <v>2627</v>
      </c>
      <c r="J60" s="68"/>
      <c r="K60" s="162">
        <v>2780</v>
      </c>
      <c r="L60" s="163"/>
      <c r="M60" s="191">
        <v>2730</v>
      </c>
      <c r="N60" s="163"/>
      <c r="O60" s="69"/>
    </row>
    <row r="61" spans="1:15" ht="12.75">
      <c r="A61" s="34"/>
      <c r="B61" s="43"/>
      <c r="C61" s="43">
        <f>+C60+1</f>
        <v>2</v>
      </c>
      <c r="D61" s="23" t="s">
        <v>169</v>
      </c>
      <c r="E61" s="71">
        <v>250</v>
      </c>
      <c r="F61" s="72"/>
      <c r="G61" s="71">
        <v>250</v>
      </c>
      <c r="H61" s="72"/>
      <c r="I61" s="71">
        <v>250</v>
      </c>
      <c r="J61" s="72"/>
      <c r="K61" s="164">
        <f>100+1000</f>
        <v>1100</v>
      </c>
      <c r="L61" s="165"/>
      <c r="M61" s="192">
        <f>206-42</f>
        <v>164</v>
      </c>
      <c r="N61" s="165"/>
      <c r="O61" s="69"/>
    </row>
    <row r="62" spans="1:15" ht="12.75">
      <c r="A62" s="16"/>
      <c r="B62" s="44"/>
      <c r="C62" s="43">
        <f aca="true" t="shared" si="2" ref="C62:C67">+C61+1</f>
        <v>3</v>
      </c>
      <c r="D62" s="18" t="s">
        <v>166</v>
      </c>
      <c r="E62" s="71">
        <v>542</v>
      </c>
      <c r="F62" s="72"/>
      <c r="G62" s="71">
        <v>542</v>
      </c>
      <c r="H62" s="72"/>
      <c r="I62" s="71">
        <v>542</v>
      </c>
      <c r="J62" s="72"/>
      <c r="K62" s="164">
        <v>542</v>
      </c>
      <c r="L62" s="165"/>
      <c r="M62" s="164">
        <f>542</f>
        <v>542</v>
      </c>
      <c r="N62" s="165"/>
      <c r="O62" s="69"/>
    </row>
    <row r="63" spans="1:15" ht="12.75">
      <c r="A63" s="16"/>
      <c r="B63" s="44"/>
      <c r="C63" s="43">
        <f t="shared" si="2"/>
        <v>4</v>
      </c>
      <c r="D63" s="18" t="s">
        <v>69</v>
      </c>
      <c r="E63" s="71">
        <v>0</v>
      </c>
      <c r="F63" s="73"/>
      <c r="G63" s="71">
        <v>0</v>
      </c>
      <c r="H63" s="73"/>
      <c r="I63" s="71">
        <v>925</v>
      </c>
      <c r="J63" s="73"/>
      <c r="K63" s="164">
        <f>300+528</f>
        <v>828</v>
      </c>
      <c r="L63" s="165"/>
      <c r="M63" s="192">
        <f>300+528+185</f>
        <v>1013</v>
      </c>
      <c r="N63" s="165"/>
      <c r="O63" s="74"/>
    </row>
    <row r="64" spans="1:15" ht="12.75">
      <c r="A64" s="16"/>
      <c r="B64" s="44"/>
      <c r="C64" s="43">
        <f t="shared" si="2"/>
        <v>5</v>
      </c>
      <c r="D64" s="18" t="s">
        <v>70</v>
      </c>
      <c r="E64" s="71">
        <v>306</v>
      </c>
      <c r="F64" s="72"/>
      <c r="G64" s="71">
        <v>306</v>
      </c>
      <c r="H64" s="72"/>
      <c r="I64" s="71">
        <v>306</v>
      </c>
      <c r="J64" s="72"/>
      <c r="K64" s="164">
        <f>306+35+78</f>
        <v>419</v>
      </c>
      <c r="L64" s="165"/>
      <c r="M64" s="192">
        <f>306+35+78+42</f>
        <v>461</v>
      </c>
      <c r="N64" s="165"/>
      <c r="O64" s="69"/>
    </row>
    <row r="65" spans="1:15" ht="12.75">
      <c r="A65" s="16"/>
      <c r="B65" s="44"/>
      <c r="C65" s="43">
        <f t="shared" si="2"/>
        <v>6</v>
      </c>
      <c r="D65" s="18" t="s">
        <v>71</v>
      </c>
      <c r="E65" s="71">
        <v>377</v>
      </c>
      <c r="F65" s="72"/>
      <c r="G65" s="71">
        <v>377</v>
      </c>
      <c r="H65" s="72"/>
      <c r="I65" s="71">
        <f>377+9</f>
        <v>386</v>
      </c>
      <c r="J65" s="72"/>
      <c r="K65" s="164">
        <v>380</v>
      </c>
      <c r="L65" s="165"/>
      <c r="M65" s="164">
        <v>380</v>
      </c>
      <c r="N65" s="165"/>
      <c r="O65" s="69"/>
    </row>
    <row r="66" spans="1:15" ht="12.75">
      <c r="A66" s="16"/>
      <c r="B66" s="44"/>
      <c r="C66" s="43">
        <f t="shared" si="2"/>
        <v>7</v>
      </c>
      <c r="D66" s="18" t="s">
        <v>72</v>
      </c>
      <c r="E66" s="71">
        <v>789</v>
      </c>
      <c r="F66" s="72"/>
      <c r="G66" s="71">
        <v>789</v>
      </c>
      <c r="H66" s="72"/>
      <c r="I66" s="71">
        <v>789</v>
      </c>
      <c r="J66" s="72"/>
      <c r="K66" s="164">
        <f>832+215</f>
        <v>1047</v>
      </c>
      <c r="L66" s="165"/>
      <c r="M66" s="164">
        <f>832+215</f>
        <v>1047</v>
      </c>
      <c r="N66" s="165"/>
      <c r="O66" s="69"/>
    </row>
    <row r="67" spans="1:15" ht="12.75">
      <c r="A67" s="20"/>
      <c r="B67" s="45"/>
      <c r="C67" s="43">
        <f t="shared" si="2"/>
        <v>8</v>
      </c>
      <c r="D67" s="25" t="s">
        <v>73</v>
      </c>
      <c r="E67" s="71">
        <v>181</v>
      </c>
      <c r="F67" s="72"/>
      <c r="G67" s="71">
        <v>181</v>
      </c>
      <c r="H67" s="72"/>
      <c r="I67" s="71">
        <v>181</v>
      </c>
      <c r="J67" s="72"/>
      <c r="K67" s="164">
        <v>181</v>
      </c>
      <c r="L67" s="165"/>
      <c r="M67" s="164">
        <v>181</v>
      </c>
      <c r="N67" s="165"/>
      <c r="O67" s="69"/>
    </row>
    <row r="68" spans="1:15" ht="13.5" thickBot="1">
      <c r="A68" s="20"/>
      <c r="B68" s="45"/>
      <c r="C68" s="45"/>
      <c r="D68" s="25" t="s">
        <v>23</v>
      </c>
      <c r="E68" s="75"/>
      <c r="F68" s="76">
        <f>SUM(E60:E67)</f>
        <v>5072</v>
      </c>
      <c r="G68" s="75"/>
      <c r="H68" s="76">
        <f>SUM(G60:G67)</f>
        <v>5072</v>
      </c>
      <c r="I68" s="75"/>
      <c r="J68" s="76">
        <f>SUM(I60:I67)</f>
        <v>6006</v>
      </c>
      <c r="K68" s="166"/>
      <c r="L68" s="167">
        <f>SUM(K60:K67)</f>
        <v>7277</v>
      </c>
      <c r="M68" s="166"/>
      <c r="N68" s="167">
        <f>SUM(M60:M67)</f>
        <v>6518</v>
      </c>
      <c r="O68" s="77"/>
    </row>
    <row r="69" spans="1:15" ht="12.75">
      <c r="A69" s="10" t="s">
        <v>18</v>
      </c>
      <c r="B69" s="42" t="s">
        <v>74</v>
      </c>
      <c r="C69" s="42">
        <v>1</v>
      </c>
      <c r="D69" s="12" t="s">
        <v>75</v>
      </c>
      <c r="E69" s="67">
        <f>25398-22-1407+350</f>
        <v>24319</v>
      </c>
      <c r="F69" s="78"/>
      <c r="G69" s="67">
        <f>25398-22-1407+350</f>
        <v>24319</v>
      </c>
      <c r="H69" s="78"/>
      <c r="I69" s="67">
        <f>25398-22-1407+350</f>
        <v>24319</v>
      </c>
      <c r="J69" s="78"/>
      <c r="K69" s="162">
        <f>1810+630+21916+1640+576-100+159.5+15.5-60</f>
        <v>26587</v>
      </c>
      <c r="L69" s="163"/>
      <c r="M69" s="191">
        <f>1887+650+21775.5+1810+5+159.5+191+256</f>
        <v>26734</v>
      </c>
      <c r="N69" s="163"/>
      <c r="O69" s="79"/>
    </row>
    <row r="70" spans="1:15" ht="12.75">
      <c r="A70" s="16"/>
      <c r="B70" s="44"/>
      <c r="C70" s="44">
        <v>2</v>
      </c>
      <c r="D70" s="18" t="s">
        <v>76</v>
      </c>
      <c r="E70" s="71">
        <v>820</v>
      </c>
      <c r="F70" s="80"/>
      <c r="G70" s="71">
        <v>820</v>
      </c>
      <c r="H70" s="80"/>
      <c r="I70" s="71">
        <v>845</v>
      </c>
      <c r="J70" s="80"/>
      <c r="K70" s="164">
        <v>930</v>
      </c>
      <c r="L70" s="165"/>
      <c r="M70" s="192">
        <v>945</v>
      </c>
      <c r="N70" s="165"/>
      <c r="O70" s="79"/>
    </row>
    <row r="71" spans="1:15" ht="13.5" thickBot="1">
      <c r="A71" s="28"/>
      <c r="B71" s="47"/>
      <c r="C71" s="47"/>
      <c r="D71" s="30" t="s">
        <v>8</v>
      </c>
      <c r="E71" s="81"/>
      <c r="F71" s="82">
        <f>SUM(E69:E70)</f>
        <v>25139</v>
      </c>
      <c r="G71" s="81"/>
      <c r="H71" s="82">
        <f>SUM(G69:G70)</f>
        <v>25139</v>
      </c>
      <c r="I71" s="81"/>
      <c r="J71" s="82">
        <f>SUM(I69:I70)</f>
        <v>25164</v>
      </c>
      <c r="K71" s="166"/>
      <c r="L71" s="184">
        <f>SUM(K69:K70)</f>
        <v>27517</v>
      </c>
      <c r="M71" s="166"/>
      <c r="N71" s="168">
        <f>SUM(M69:M70)</f>
        <v>27679</v>
      </c>
      <c r="O71" s="79"/>
    </row>
    <row r="72" spans="1:15" ht="12.75">
      <c r="A72" s="34" t="s">
        <v>24</v>
      </c>
      <c r="B72" s="43" t="s">
        <v>77</v>
      </c>
      <c r="C72" s="43">
        <v>1</v>
      </c>
      <c r="D72" s="23" t="s">
        <v>78</v>
      </c>
      <c r="E72" s="67">
        <v>1000</v>
      </c>
      <c r="F72" s="68"/>
      <c r="G72" s="67">
        <v>1000</v>
      </c>
      <c r="H72" s="68"/>
      <c r="I72" s="67">
        <v>1000</v>
      </c>
      <c r="J72" s="68"/>
      <c r="K72" s="162">
        <f>120+980+111+41+60</f>
        <v>1312</v>
      </c>
      <c r="L72" s="163"/>
      <c r="M72" s="162">
        <f>120+980+111+41+60</f>
        <v>1312</v>
      </c>
      <c r="N72" s="163"/>
      <c r="O72" s="69"/>
    </row>
    <row r="73" spans="1:15" ht="12.75">
      <c r="A73" s="16"/>
      <c r="B73" s="44"/>
      <c r="C73" s="44">
        <f>+C72+1</f>
        <v>2</v>
      </c>
      <c r="D73" s="18" t="s">
        <v>79</v>
      </c>
      <c r="E73" s="71">
        <f>750*0.95+0.5</f>
        <v>713</v>
      </c>
      <c r="F73" s="72"/>
      <c r="G73" s="71">
        <f>323+750*0.95+0.5</f>
        <v>1036</v>
      </c>
      <c r="H73" s="72"/>
      <c r="I73" s="71">
        <f>323+750*0.95+0.5</f>
        <v>1036</v>
      </c>
      <c r="J73" s="72"/>
      <c r="K73" s="164">
        <f>750.3+301.7</f>
        <v>1052</v>
      </c>
      <c r="L73" s="165"/>
      <c r="M73" s="164">
        <f>750.3+301.7</f>
        <v>1052</v>
      </c>
      <c r="N73" s="165"/>
      <c r="O73" s="69"/>
    </row>
    <row r="74" spans="1:15" ht="12.75">
      <c r="A74" s="16"/>
      <c r="B74" s="44"/>
      <c r="C74" s="44">
        <f>+C73+1</f>
        <v>3</v>
      </c>
      <c r="D74" s="18" t="s">
        <v>80</v>
      </c>
      <c r="E74" s="71"/>
      <c r="F74" s="72"/>
      <c r="G74" s="71"/>
      <c r="H74" s="72"/>
      <c r="I74" s="71"/>
      <c r="J74" s="72"/>
      <c r="K74" s="164">
        <v>200</v>
      </c>
      <c r="L74" s="165"/>
      <c r="M74" s="164">
        <v>200</v>
      </c>
      <c r="N74" s="165"/>
      <c r="O74" s="69"/>
    </row>
    <row r="75" spans="1:15" ht="12.75">
      <c r="A75" s="16"/>
      <c r="B75" s="44"/>
      <c r="C75" s="44">
        <f>+C74+1</f>
        <v>4</v>
      </c>
      <c r="D75" s="18" t="s">
        <v>141</v>
      </c>
      <c r="E75" s="71">
        <v>360</v>
      </c>
      <c r="F75" s="72"/>
      <c r="G75" s="71">
        <v>360</v>
      </c>
      <c r="H75" s="72"/>
      <c r="I75" s="71">
        <v>360</v>
      </c>
      <c r="J75" s="72"/>
      <c r="K75" s="164">
        <v>400</v>
      </c>
      <c r="L75" s="165"/>
      <c r="M75" s="164">
        <v>400</v>
      </c>
      <c r="N75" s="165"/>
      <c r="O75" s="69"/>
    </row>
    <row r="76" spans="1:15" ht="12.75">
      <c r="A76" s="16"/>
      <c r="B76" s="44"/>
      <c r="C76" s="44">
        <f>+C75+1</f>
        <v>5</v>
      </c>
      <c r="D76" s="18" t="s">
        <v>130</v>
      </c>
      <c r="E76" s="71"/>
      <c r="F76" s="72"/>
      <c r="G76" s="71"/>
      <c r="H76" s="72"/>
      <c r="I76" s="71"/>
      <c r="J76" s="72"/>
      <c r="K76" s="164">
        <v>309</v>
      </c>
      <c r="L76" s="165"/>
      <c r="M76" s="192">
        <v>445</v>
      </c>
      <c r="N76" s="165"/>
      <c r="O76" s="69"/>
    </row>
    <row r="77" spans="1:15" ht="12.75">
      <c r="A77" s="16"/>
      <c r="B77" s="44"/>
      <c r="C77" s="44">
        <f>+C76+1</f>
        <v>6</v>
      </c>
      <c r="D77" s="18" t="s">
        <v>81</v>
      </c>
      <c r="E77" s="83">
        <v>320</v>
      </c>
      <c r="F77" s="72"/>
      <c r="G77" s="83">
        <v>320</v>
      </c>
      <c r="H77" s="72"/>
      <c r="I77" s="83">
        <v>320</v>
      </c>
      <c r="J77" s="72"/>
      <c r="K77" s="164">
        <v>500</v>
      </c>
      <c r="L77" s="165"/>
      <c r="M77" s="192">
        <v>550</v>
      </c>
      <c r="N77" s="165"/>
      <c r="O77" s="69"/>
    </row>
    <row r="78" spans="1:15" ht="13.5" thickBot="1">
      <c r="A78" s="20"/>
      <c r="B78" s="45"/>
      <c r="C78" s="45"/>
      <c r="D78" s="25" t="s">
        <v>23</v>
      </c>
      <c r="E78" s="84"/>
      <c r="F78" s="85">
        <f>SUM(E72:E77)</f>
        <v>2393</v>
      </c>
      <c r="G78" s="84"/>
      <c r="H78" s="85">
        <f>SUM(G72:G77)</f>
        <v>2716</v>
      </c>
      <c r="I78" s="84"/>
      <c r="J78" s="85">
        <f>SUM(I72:I77)</f>
        <v>2716</v>
      </c>
      <c r="K78" s="169"/>
      <c r="L78" s="171">
        <f>SUM(K72:K77)</f>
        <v>3773</v>
      </c>
      <c r="M78" s="169"/>
      <c r="N78" s="170">
        <f>SUM(M72:M77)</f>
        <v>3959</v>
      </c>
      <c r="O78" s="79"/>
    </row>
    <row r="79" spans="1:15" ht="12.75">
      <c r="A79" s="10" t="s">
        <v>40</v>
      </c>
      <c r="B79" s="86" t="s">
        <v>82</v>
      </c>
      <c r="C79" s="42">
        <v>1</v>
      </c>
      <c r="D79" s="12" t="s">
        <v>156</v>
      </c>
      <c r="E79" s="87">
        <v>29500</v>
      </c>
      <c r="F79" s="68"/>
      <c r="G79" s="87">
        <f>29540-2911</f>
        <v>26629</v>
      </c>
      <c r="H79" s="68"/>
      <c r="I79" s="87">
        <f>26100+555</f>
        <v>26655</v>
      </c>
      <c r="J79" s="68"/>
      <c r="K79" s="162">
        <f>6067+800</f>
        <v>6867</v>
      </c>
      <c r="L79" s="163"/>
      <c r="M79" s="191">
        <v>6524</v>
      </c>
      <c r="N79" s="163"/>
      <c r="O79" s="69"/>
    </row>
    <row r="80" spans="1:15" ht="12.75">
      <c r="A80" s="20"/>
      <c r="B80" s="45"/>
      <c r="C80" s="43">
        <f>C79+1</f>
        <v>2</v>
      </c>
      <c r="D80" s="18" t="s">
        <v>83</v>
      </c>
      <c r="E80" s="84"/>
      <c r="F80" s="88"/>
      <c r="G80" s="84">
        <v>100</v>
      </c>
      <c r="H80" s="88"/>
      <c r="I80" s="84">
        <v>0</v>
      </c>
      <c r="J80" s="88"/>
      <c r="K80" s="169">
        <v>0</v>
      </c>
      <c r="L80" s="171"/>
      <c r="M80" s="169">
        <v>0</v>
      </c>
      <c r="N80" s="171"/>
      <c r="O80" s="69"/>
    </row>
    <row r="81" spans="1:15" ht="12.75">
      <c r="A81" s="20"/>
      <c r="B81" s="45"/>
      <c r="C81" s="43">
        <f aca="true" t="shared" si="3" ref="C81:C97">+C80+1</f>
        <v>3</v>
      </c>
      <c r="D81" s="18" t="s">
        <v>122</v>
      </c>
      <c r="E81" s="84"/>
      <c r="F81" s="88"/>
      <c r="G81" s="84"/>
      <c r="H81" s="88"/>
      <c r="I81" s="84">
        <v>330</v>
      </c>
      <c r="J81" s="88"/>
      <c r="K81" s="169">
        <v>1100</v>
      </c>
      <c r="L81" s="171"/>
      <c r="M81" s="169">
        <v>1100</v>
      </c>
      <c r="N81" s="171"/>
      <c r="O81" s="69"/>
    </row>
    <row r="82" spans="1:15" ht="12.75">
      <c r="A82" s="20"/>
      <c r="B82" s="45"/>
      <c r="C82" s="43">
        <f t="shared" si="3"/>
        <v>4</v>
      </c>
      <c r="D82" s="18" t="s">
        <v>134</v>
      </c>
      <c r="E82" s="84"/>
      <c r="F82" s="88"/>
      <c r="G82" s="84"/>
      <c r="H82" s="88"/>
      <c r="I82" s="84"/>
      <c r="J82" s="88"/>
      <c r="K82" s="169">
        <v>13854</v>
      </c>
      <c r="L82" s="171"/>
      <c r="M82" s="169">
        <v>13854</v>
      </c>
      <c r="N82" s="171"/>
      <c r="O82" s="69"/>
    </row>
    <row r="83" spans="1:15" ht="12.75">
      <c r="A83" s="20"/>
      <c r="B83" s="45"/>
      <c r="C83" s="43">
        <f t="shared" si="3"/>
        <v>5</v>
      </c>
      <c r="D83" s="18" t="s">
        <v>140</v>
      </c>
      <c r="E83" s="84"/>
      <c r="F83" s="88"/>
      <c r="G83" s="84"/>
      <c r="H83" s="88"/>
      <c r="I83" s="84"/>
      <c r="J83" s="88"/>
      <c r="K83" s="169">
        <v>410</v>
      </c>
      <c r="L83" s="171"/>
      <c r="M83" s="180">
        <f>398</f>
        <v>398</v>
      </c>
      <c r="N83" s="171"/>
      <c r="O83" s="69"/>
    </row>
    <row r="84" spans="1:15" ht="12.75">
      <c r="A84" s="20"/>
      <c r="B84" s="45"/>
      <c r="C84" s="43">
        <f t="shared" si="3"/>
        <v>6</v>
      </c>
      <c r="D84" s="18" t="s">
        <v>139</v>
      </c>
      <c r="E84" s="84"/>
      <c r="F84" s="88"/>
      <c r="G84" s="84"/>
      <c r="H84" s="88"/>
      <c r="I84" s="84"/>
      <c r="J84" s="88"/>
      <c r="K84" s="169">
        <v>3100</v>
      </c>
      <c r="L84" s="171"/>
      <c r="M84" s="180">
        <f>3100-24-1277</f>
        <v>1799</v>
      </c>
      <c r="N84" s="171"/>
      <c r="O84" s="69"/>
    </row>
    <row r="85" spans="1:15" ht="12.75">
      <c r="A85" s="20"/>
      <c r="B85" s="45"/>
      <c r="C85" s="43">
        <f t="shared" si="3"/>
        <v>7</v>
      </c>
      <c r="D85" s="18" t="s">
        <v>147</v>
      </c>
      <c r="E85" s="84"/>
      <c r="F85" s="88"/>
      <c r="G85" s="84"/>
      <c r="H85" s="88"/>
      <c r="I85" s="84"/>
      <c r="J85" s="88"/>
      <c r="K85" s="169">
        <v>2450</v>
      </c>
      <c r="L85" s="171"/>
      <c r="M85" s="169">
        <v>2450</v>
      </c>
      <c r="N85" s="171"/>
      <c r="O85" s="69"/>
    </row>
    <row r="86" spans="1:15" ht="12.75">
      <c r="A86" s="20"/>
      <c r="B86" s="45"/>
      <c r="C86" s="43">
        <f t="shared" si="3"/>
        <v>8</v>
      </c>
      <c r="D86" s="18" t="s">
        <v>143</v>
      </c>
      <c r="E86" s="84"/>
      <c r="F86" s="88"/>
      <c r="G86" s="84"/>
      <c r="H86" s="88"/>
      <c r="I86" s="84"/>
      <c r="J86" s="88"/>
      <c r="K86" s="169">
        <v>300</v>
      </c>
      <c r="L86" s="171"/>
      <c r="M86" s="180">
        <v>0</v>
      </c>
      <c r="N86" s="171"/>
      <c r="O86" s="69"/>
    </row>
    <row r="87" spans="1:15" ht="12.75">
      <c r="A87" s="20"/>
      <c r="B87" s="45"/>
      <c r="C87" s="43">
        <f t="shared" si="3"/>
        <v>9</v>
      </c>
      <c r="D87" s="18" t="s">
        <v>154</v>
      </c>
      <c r="E87" s="84"/>
      <c r="F87" s="88"/>
      <c r="G87" s="84"/>
      <c r="H87" s="88"/>
      <c r="I87" s="84"/>
      <c r="J87" s="88"/>
      <c r="K87" s="169">
        <v>952</v>
      </c>
      <c r="L87" s="171"/>
      <c r="M87" s="169">
        <v>952</v>
      </c>
      <c r="N87" s="171"/>
      <c r="O87" s="69"/>
    </row>
    <row r="88" spans="1:15" ht="12.75">
      <c r="A88" s="20"/>
      <c r="B88" s="45"/>
      <c r="C88" s="43">
        <f t="shared" si="3"/>
        <v>10</v>
      </c>
      <c r="D88" s="18" t="s">
        <v>148</v>
      </c>
      <c r="E88" s="84"/>
      <c r="F88" s="88"/>
      <c r="G88" s="84"/>
      <c r="H88" s="88"/>
      <c r="I88" s="84"/>
      <c r="J88" s="88"/>
      <c r="K88" s="169">
        <v>1950</v>
      </c>
      <c r="L88" s="171"/>
      <c r="M88" s="180">
        <v>2281</v>
      </c>
      <c r="N88" s="171"/>
      <c r="O88" s="69"/>
    </row>
    <row r="89" spans="1:15" ht="12.75">
      <c r="A89" s="20"/>
      <c r="B89" s="45"/>
      <c r="C89" s="43">
        <f t="shared" si="3"/>
        <v>11</v>
      </c>
      <c r="D89" s="18" t="s">
        <v>131</v>
      </c>
      <c r="E89" s="84"/>
      <c r="F89" s="88"/>
      <c r="G89" s="84"/>
      <c r="H89" s="88"/>
      <c r="I89" s="84"/>
      <c r="J89" s="88"/>
      <c r="K89" s="169">
        <v>100</v>
      </c>
      <c r="L89" s="171"/>
      <c r="M89" s="169">
        <v>100</v>
      </c>
      <c r="N89" s="171"/>
      <c r="O89" s="69"/>
    </row>
    <row r="90" spans="1:15" ht="12.75">
      <c r="A90" s="20"/>
      <c r="B90" s="45"/>
      <c r="C90" s="43">
        <f t="shared" si="3"/>
        <v>12</v>
      </c>
      <c r="D90" s="18" t="s">
        <v>157</v>
      </c>
      <c r="E90" s="84"/>
      <c r="F90" s="88"/>
      <c r="G90" s="84"/>
      <c r="H90" s="88"/>
      <c r="I90" s="84"/>
      <c r="J90" s="88"/>
      <c r="K90" s="169">
        <v>3900</v>
      </c>
      <c r="L90" s="171"/>
      <c r="M90" s="180">
        <v>3590</v>
      </c>
      <c r="N90" s="171"/>
      <c r="O90" s="69"/>
    </row>
    <row r="91" spans="1:15" ht="12.75">
      <c r="A91" s="20"/>
      <c r="B91" s="45"/>
      <c r="C91" s="43">
        <f t="shared" si="3"/>
        <v>13</v>
      </c>
      <c r="D91" s="18" t="s">
        <v>138</v>
      </c>
      <c r="E91" s="84"/>
      <c r="F91" s="88"/>
      <c r="G91" s="84"/>
      <c r="H91" s="88"/>
      <c r="I91" s="84"/>
      <c r="J91" s="88"/>
      <c r="K91" s="169">
        <v>75</v>
      </c>
      <c r="L91" s="171"/>
      <c r="M91" s="169">
        <v>75</v>
      </c>
      <c r="N91" s="171"/>
      <c r="O91" s="69"/>
    </row>
    <row r="92" spans="1:15" ht="12.75">
      <c r="A92" s="20"/>
      <c r="B92" s="45"/>
      <c r="C92" s="43">
        <f t="shared" si="3"/>
        <v>14</v>
      </c>
      <c r="D92" s="18" t="s">
        <v>153</v>
      </c>
      <c r="E92" s="84"/>
      <c r="F92" s="88"/>
      <c r="G92" s="84"/>
      <c r="H92" s="88"/>
      <c r="I92" s="84"/>
      <c r="J92" s="88"/>
      <c r="K92" s="169">
        <f>250+550</f>
        <v>800</v>
      </c>
      <c r="L92" s="171"/>
      <c r="M92" s="180">
        <v>950</v>
      </c>
      <c r="N92" s="171"/>
      <c r="O92" s="69"/>
    </row>
    <row r="93" spans="1:15" ht="12.75">
      <c r="A93" s="20"/>
      <c r="B93" s="45"/>
      <c r="C93" s="43">
        <f t="shared" si="3"/>
        <v>15</v>
      </c>
      <c r="D93" s="18" t="s">
        <v>170</v>
      </c>
      <c r="E93" s="84"/>
      <c r="F93" s="88"/>
      <c r="G93" s="84"/>
      <c r="H93" s="88"/>
      <c r="I93" s="84"/>
      <c r="J93" s="88"/>
      <c r="K93" s="169">
        <v>0</v>
      </c>
      <c r="L93" s="171"/>
      <c r="M93" s="180">
        <v>353</v>
      </c>
      <c r="N93" s="171"/>
      <c r="O93" s="69"/>
    </row>
    <row r="94" spans="1:15" ht="12.75">
      <c r="A94" s="20"/>
      <c r="B94" s="45"/>
      <c r="C94" s="43">
        <f t="shared" si="3"/>
        <v>16</v>
      </c>
      <c r="D94" s="18" t="s">
        <v>151</v>
      </c>
      <c r="E94" s="84"/>
      <c r="F94" s="88"/>
      <c r="G94" s="84"/>
      <c r="H94" s="88"/>
      <c r="I94" s="84"/>
      <c r="J94" s="88"/>
      <c r="K94" s="169">
        <v>445</v>
      </c>
      <c r="L94" s="171"/>
      <c r="M94" s="180">
        <f>445+116</f>
        <v>561</v>
      </c>
      <c r="N94" s="171"/>
      <c r="O94" s="69"/>
    </row>
    <row r="95" spans="1:15" ht="12.75">
      <c r="A95" s="20"/>
      <c r="B95" s="45"/>
      <c r="C95" s="43">
        <f t="shared" si="3"/>
        <v>17</v>
      </c>
      <c r="D95" s="18" t="s">
        <v>158</v>
      </c>
      <c r="E95" s="84"/>
      <c r="F95" s="88"/>
      <c r="G95" s="84"/>
      <c r="H95" s="88"/>
      <c r="I95" s="84"/>
      <c r="J95" s="88"/>
      <c r="K95" s="169">
        <v>268</v>
      </c>
      <c r="L95" s="171"/>
      <c r="M95" s="169">
        <v>268</v>
      </c>
      <c r="N95" s="171"/>
      <c r="O95" s="69"/>
    </row>
    <row r="96" spans="1:15" ht="12.75">
      <c r="A96" s="20"/>
      <c r="B96" s="45"/>
      <c r="C96" s="43">
        <f t="shared" si="3"/>
        <v>18</v>
      </c>
      <c r="D96" s="18" t="s">
        <v>162</v>
      </c>
      <c r="E96" s="84"/>
      <c r="F96" s="88"/>
      <c r="G96" s="84"/>
      <c r="H96" s="88"/>
      <c r="I96" s="84"/>
      <c r="J96" s="88"/>
      <c r="K96" s="169">
        <v>630</v>
      </c>
      <c r="L96" s="171"/>
      <c r="M96" s="180">
        <v>606</v>
      </c>
      <c r="N96" s="171"/>
      <c r="O96" s="69"/>
    </row>
    <row r="97" spans="1:15" ht="12.75">
      <c r="A97" s="20"/>
      <c r="B97" s="45"/>
      <c r="C97" s="43">
        <f t="shared" si="3"/>
        <v>19</v>
      </c>
      <c r="D97" s="18" t="s">
        <v>84</v>
      </c>
      <c r="E97" s="84">
        <v>700</v>
      </c>
      <c r="F97" s="88"/>
      <c r="G97" s="84">
        <v>170</v>
      </c>
      <c r="H97" s="88"/>
      <c r="I97" s="84">
        <v>200</v>
      </c>
      <c r="J97" s="88"/>
      <c r="K97" s="169">
        <v>600</v>
      </c>
      <c r="L97" s="171"/>
      <c r="M97" s="180">
        <v>920</v>
      </c>
      <c r="N97" s="171"/>
      <c r="O97" s="69"/>
    </row>
    <row r="98" spans="1:15" ht="13.5" thickBot="1">
      <c r="A98" s="28"/>
      <c r="B98" s="47"/>
      <c r="C98" s="43"/>
      <c r="D98" s="89" t="s">
        <v>23</v>
      </c>
      <c r="E98" s="75"/>
      <c r="F98" s="90">
        <f>SUM(E79:E97)</f>
        <v>30200</v>
      </c>
      <c r="G98" s="75"/>
      <c r="H98" s="90">
        <f>SUM(G79:G97)</f>
        <v>26899</v>
      </c>
      <c r="I98" s="75"/>
      <c r="J98" s="90">
        <f>SUM(I79:I97)</f>
        <v>27185</v>
      </c>
      <c r="K98" s="166"/>
      <c r="L98" s="168">
        <f>SUM(K79:K97)</f>
        <v>37801</v>
      </c>
      <c r="M98" s="166"/>
      <c r="N98" s="168">
        <f>SUM(M79:M97)</f>
        <v>36781</v>
      </c>
      <c r="O98" s="69"/>
    </row>
    <row r="99" spans="1:15" ht="12.75">
      <c r="A99" s="10" t="s">
        <v>46</v>
      </c>
      <c r="B99" s="42" t="s">
        <v>85</v>
      </c>
      <c r="C99" s="42">
        <v>1</v>
      </c>
      <c r="D99" s="91" t="s">
        <v>86</v>
      </c>
      <c r="E99" s="92">
        <v>150</v>
      </c>
      <c r="F99" s="70"/>
      <c r="G99" s="92">
        <v>150</v>
      </c>
      <c r="H99" s="70"/>
      <c r="I99" s="92">
        <v>125</v>
      </c>
      <c r="J99" s="70"/>
      <c r="K99" s="172">
        <v>105</v>
      </c>
      <c r="L99" s="173"/>
      <c r="M99" s="193">
        <v>145</v>
      </c>
      <c r="N99" s="173"/>
      <c r="O99" s="69"/>
    </row>
    <row r="100" spans="1:15" ht="12.75">
      <c r="A100" s="16"/>
      <c r="B100" s="44"/>
      <c r="C100" s="44">
        <f aca="true" t="shared" si="4" ref="C100:C117">+C99+1</f>
        <v>2</v>
      </c>
      <c r="D100" s="18" t="s">
        <v>87</v>
      </c>
      <c r="E100" s="83">
        <v>400</v>
      </c>
      <c r="F100" s="72"/>
      <c r="G100" s="83">
        <v>400</v>
      </c>
      <c r="H100" s="72"/>
      <c r="I100" s="83">
        <v>300</v>
      </c>
      <c r="J100" s="72"/>
      <c r="K100" s="164">
        <v>733</v>
      </c>
      <c r="L100" s="165"/>
      <c r="M100" s="192">
        <v>1350</v>
      </c>
      <c r="N100" s="165"/>
      <c r="O100" s="69"/>
    </row>
    <row r="101" spans="1:15" ht="12.75">
      <c r="A101" s="16"/>
      <c r="B101" s="44"/>
      <c r="C101" s="44">
        <f t="shared" si="4"/>
        <v>3</v>
      </c>
      <c r="D101" s="18" t="s">
        <v>88</v>
      </c>
      <c r="E101" s="83">
        <v>100</v>
      </c>
      <c r="F101" s="72"/>
      <c r="G101" s="83">
        <v>100</v>
      </c>
      <c r="H101" s="72"/>
      <c r="I101" s="83">
        <v>100</v>
      </c>
      <c r="J101" s="72"/>
      <c r="K101" s="164">
        <v>200</v>
      </c>
      <c r="L101" s="165"/>
      <c r="M101" s="192">
        <v>150</v>
      </c>
      <c r="N101" s="165"/>
      <c r="O101" s="69"/>
    </row>
    <row r="102" spans="1:15" ht="12.75">
      <c r="A102" s="16"/>
      <c r="B102" s="44"/>
      <c r="C102" s="44">
        <f t="shared" si="4"/>
        <v>4</v>
      </c>
      <c r="D102" s="18" t="s">
        <v>89</v>
      </c>
      <c r="E102" s="83">
        <v>360</v>
      </c>
      <c r="F102" s="72"/>
      <c r="G102" s="83">
        <v>360</v>
      </c>
      <c r="H102" s="72"/>
      <c r="I102" s="83">
        <v>300</v>
      </c>
      <c r="J102" s="72"/>
      <c r="K102" s="164">
        <v>500</v>
      </c>
      <c r="L102" s="165"/>
      <c r="M102" s="164">
        <v>500</v>
      </c>
      <c r="N102" s="165"/>
      <c r="O102" s="69"/>
    </row>
    <row r="103" spans="1:15" ht="12.75">
      <c r="A103" s="16"/>
      <c r="B103" s="44"/>
      <c r="C103" s="44">
        <f t="shared" si="4"/>
        <v>5</v>
      </c>
      <c r="D103" s="18" t="s">
        <v>137</v>
      </c>
      <c r="E103" s="83">
        <v>5290</v>
      </c>
      <c r="F103" s="72"/>
      <c r="G103" s="83">
        <v>5290</v>
      </c>
      <c r="H103" s="72"/>
      <c r="I103" s="83">
        <v>5290</v>
      </c>
      <c r="J103" s="72"/>
      <c r="K103" s="164">
        <v>3780</v>
      </c>
      <c r="L103" s="165"/>
      <c r="M103" s="164">
        <v>3780</v>
      </c>
      <c r="N103" s="165"/>
      <c r="O103" s="69"/>
    </row>
    <row r="104" spans="1:15" ht="12.75">
      <c r="A104" s="16"/>
      <c r="B104" s="44"/>
      <c r="C104" s="44">
        <f t="shared" si="4"/>
        <v>6</v>
      </c>
      <c r="D104" s="18" t="s">
        <v>90</v>
      </c>
      <c r="E104" s="83">
        <v>1350</v>
      </c>
      <c r="F104" s="72"/>
      <c r="G104" s="83">
        <v>1450</v>
      </c>
      <c r="H104" s="72"/>
      <c r="I104" s="83">
        <v>1500</v>
      </c>
      <c r="J104" s="72"/>
      <c r="K104" s="164">
        <f>2030+156</f>
        <v>2186</v>
      </c>
      <c r="L104" s="165"/>
      <c r="M104" s="192">
        <f>466-45+1919</f>
        <v>2340</v>
      </c>
      <c r="N104" s="165"/>
      <c r="O104" s="69"/>
    </row>
    <row r="105" spans="1:15" ht="12.75">
      <c r="A105" s="16"/>
      <c r="B105" s="44"/>
      <c r="C105" s="44">
        <f t="shared" si="4"/>
        <v>7</v>
      </c>
      <c r="D105" s="18" t="s">
        <v>91</v>
      </c>
      <c r="E105" s="83">
        <v>1535</v>
      </c>
      <c r="F105" s="72"/>
      <c r="G105" s="83">
        <v>1535</v>
      </c>
      <c r="H105" s="72"/>
      <c r="I105" s="83">
        <v>1535</v>
      </c>
      <c r="J105" s="72"/>
      <c r="K105" s="164">
        <v>1775</v>
      </c>
      <c r="L105" s="165"/>
      <c r="M105" s="192">
        <v>2025</v>
      </c>
      <c r="N105" s="165"/>
      <c r="O105" s="69"/>
    </row>
    <row r="106" spans="1:15" ht="12.75">
      <c r="A106" s="16"/>
      <c r="B106" s="44"/>
      <c r="C106" s="44">
        <f t="shared" si="4"/>
        <v>8</v>
      </c>
      <c r="D106" s="18" t="s">
        <v>92</v>
      </c>
      <c r="E106" s="71">
        <v>542</v>
      </c>
      <c r="F106" s="72"/>
      <c r="G106" s="71">
        <v>542</v>
      </c>
      <c r="H106" s="72"/>
      <c r="I106" s="71">
        <v>542</v>
      </c>
      <c r="J106" s="72"/>
      <c r="K106" s="164">
        <v>550</v>
      </c>
      <c r="L106" s="165"/>
      <c r="M106" s="192">
        <f>550+75+60</f>
        <v>685</v>
      </c>
      <c r="N106" s="165"/>
      <c r="O106" s="69"/>
    </row>
    <row r="107" spans="1:15" ht="12.75">
      <c r="A107" s="20"/>
      <c r="B107" s="45"/>
      <c r="C107" s="44">
        <f>+C106+1</f>
        <v>9</v>
      </c>
      <c r="D107" s="25" t="s">
        <v>165</v>
      </c>
      <c r="E107" s="94">
        <v>60</v>
      </c>
      <c r="F107" s="88"/>
      <c r="G107" s="94">
        <v>60</v>
      </c>
      <c r="H107" s="88"/>
      <c r="I107" s="94">
        <v>60</v>
      </c>
      <c r="J107" s="88"/>
      <c r="K107" s="169">
        <v>370</v>
      </c>
      <c r="L107" s="171"/>
      <c r="M107" s="180">
        <v>376</v>
      </c>
      <c r="N107" s="171"/>
      <c r="O107" s="69"/>
    </row>
    <row r="108" spans="1:15" ht="12.75">
      <c r="A108" s="20"/>
      <c r="B108" s="45"/>
      <c r="C108" s="44">
        <f t="shared" si="4"/>
        <v>10</v>
      </c>
      <c r="D108" s="18" t="s">
        <v>145</v>
      </c>
      <c r="E108" s="84"/>
      <c r="F108" s="88"/>
      <c r="G108" s="84"/>
      <c r="H108" s="88"/>
      <c r="I108" s="84">
        <v>500</v>
      </c>
      <c r="J108" s="88"/>
      <c r="K108" s="169">
        <f>2080-268</f>
        <v>1812</v>
      </c>
      <c r="L108" s="171"/>
      <c r="M108" s="180">
        <f>1921+29+90</f>
        <v>2040</v>
      </c>
      <c r="N108" s="171"/>
      <c r="O108" s="69"/>
    </row>
    <row r="109" spans="1:15" ht="12.75">
      <c r="A109" s="20"/>
      <c r="B109" s="45"/>
      <c r="C109" s="44">
        <f t="shared" si="4"/>
        <v>11</v>
      </c>
      <c r="D109" s="25" t="s">
        <v>144</v>
      </c>
      <c r="E109" s="84"/>
      <c r="F109" s="88"/>
      <c r="G109" s="84"/>
      <c r="H109" s="88"/>
      <c r="I109" s="84"/>
      <c r="J109" s="88"/>
      <c r="K109" s="169">
        <v>500</v>
      </c>
      <c r="L109" s="171"/>
      <c r="M109" s="180">
        <v>468</v>
      </c>
      <c r="N109" s="171"/>
      <c r="O109" s="69"/>
    </row>
    <row r="110" spans="1:15" ht="12.75">
      <c r="A110" s="20"/>
      <c r="B110" s="45"/>
      <c r="C110" s="44">
        <f t="shared" si="4"/>
        <v>12</v>
      </c>
      <c r="D110" s="25" t="s">
        <v>151</v>
      </c>
      <c r="E110" s="94"/>
      <c r="F110" s="88"/>
      <c r="G110" s="94"/>
      <c r="H110" s="88"/>
      <c r="I110" s="94"/>
      <c r="J110" s="88"/>
      <c r="K110" s="169">
        <v>0</v>
      </c>
      <c r="L110" s="171"/>
      <c r="M110" s="169">
        <v>0</v>
      </c>
      <c r="N110" s="171"/>
      <c r="O110" s="69"/>
    </row>
    <row r="111" spans="1:14" ht="12.75">
      <c r="A111" s="20"/>
      <c r="B111" s="45"/>
      <c r="C111" s="44">
        <f t="shared" si="4"/>
        <v>13</v>
      </c>
      <c r="D111" s="25" t="s">
        <v>125</v>
      </c>
      <c r="E111" s="94"/>
      <c r="F111" s="88"/>
      <c r="G111" s="94"/>
      <c r="H111" s="88"/>
      <c r="I111" s="94"/>
      <c r="J111" s="88"/>
      <c r="K111" s="169">
        <v>281</v>
      </c>
      <c r="L111" s="171"/>
      <c r="M111" s="169">
        <v>281</v>
      </c>
      <c r="N111" s="171"/>
    </row>
    <row r="112" spans="1:14" ht="12.75">
      <c r="A112" s="20"/>
      <c r="B112" s="45"/>
      <c r="C112" s="44">
        <f t="shared" si="4"/>
        <v>14</v>
      </c>
      <c r="D112" s="25" t="s">
        <v>150</v>
      </c>
      <c r="E112" s="94"/>
      <c r="F112" s="88"/>
      <c r="G112" s="94"/>
      <c r="H112" s="88"/>
      <c r="I112" s="94"/>
      <c r="J112" s="88"/>
      <c r="K112" s="169">
        <v>250</v>
      </c>
      <c r="L112" s="171"/>
      <c r="M112" s="180">
        <v>646</v>
      </c>
      <c r="N112" s="171"/>
    </row>
    <row r="113" spans="1:14" ht="12.75">
      <c r="A113" s="20"/>
      <c r="B113" s="45"/>
      <c r="C113" s="44">
        <f t="shared" si="4"/>
        <v>15</v>
      </c>
      <c r="D113" s="25" t="s">
        <v>160</v>
      </c>
      <c r="E113" s="94"/>
      <c r="F113" s="88"/>
      <c r="G113" s="94"/>
      <c r="H113" s="88"/>
      <c r="I113" s="94"/>
      <c r="J113" s="88"/>
      <c r="K113" s="169">
        <f>404+36</f>
        <v>440</v>
      </c>
      <c r="L113" s="171"/>
      <c r="M113" s="180">
        <v>439</v>
      </c>
      <c r="N113" s="171"/>
    </row>
    <row r="114" spans="1:14" ht="12.75">
      <c r="A114" s="20"/>
      <c r="B114" s="45"/>
      <c r="C114" s="44">
        <f t="shared" si="4"/>
        <v>16</v>
      </c>
      <c r="D114" s="25" t="s">
        <v>168</v>
      </c>
      <c r="E114" s="94"/>
      <c r="F114" s="88"/>
      <c r="G114" s="94"/>
      <c r="H114" s="88"/>
      <c r="I114" s="94"/>
      <c r="J114" s="88"/>
      <c r="K114" s="169"/>
      <c r="L114" s="171"/>
      <c r="M114" s="180">
        <f>703+373</f>
        <v>1076</v>
      </c>
      <c r="N114" s="171"/>
    </row>
    <row r="115" spans="1:16" ht="12.75">
      <c r="A115" s="20"/>
      <c r="B115" s="45"/>
      <c r="C115" s="44">
        <f t="shared" si="4"/>
        <v>17</v>
      </c>
      <c r="D115" s="25" t="s">
        <v>164</v>
      </c>
      <c r="E115" s="94"/>
      <c r="F115" s="88"/>
      <c r="G115" s="94"/>
      <c r="H115" s="88"/>
      <c r="I115" s="94"/>
      <c r="J115" s="88"/>
      <c r="K115" s="169"/>
      <c r="L115" s="171"/>
      <c r="M115" s="180">
        <v>500</v>
      </c>
      <c r="N115" s="171"/>
      <c r="O115" s="124"/>
      <c r="P115" s="121"/>
    </row>
    <row r="116" spans="1:16" ht="12.75">
      <c r="A116" s="20"/>
      <c r="B116" s="45"/>
      <c r="C116" s="44">
        <f t="shared" si="4"/>
        <v>18</v>
      </c>
      <c r="D116" s="25" t="s">
        <v>167</v>
      </c>
      <c r="E116" s="94"/>
      <c r="F116" s="88"/>
      <c r="G116" s="94"/>
      <c r="H116" s="88"/>
      <c r="I116" s="94"/>
      <c r="J116" s="88"/>
      <c r="K116" s="169"/>
      <c r="L116" s="171"/>
      <c r="M116" s="180">
        <f>160+48</f>
        <v>208</v>
      </c>
      <c r="N116" s="171"/>
      <c r="O116" s="124">
        <f>SUM(M107:M116)</f>
        <v>6034</v>
      </c>
      <c r="P116" s="121" t="s">
        <v>127</v>
      </c>
    </row>
    <row r="117" spans="1:16" ht="12.75">
      <c r="A117" s="20"/>
      <c r="B117" s="45"/>
      <c r="C117" s="44">
        <f t="shared" si="4"/>
        <v>19</v>
      </c>
      <c r="D117" s="25" t="s">
        <v>155</v>
      </c>
      <c r="E117" s="94"/>
      <c r="F117" s="88"/>
      <c r="G117" s="94"/>
      <c r="H117" s="88"/>
      <c r="I117" s="94"/>
      <c r="J117" s="88"/>
      <c r="K117" s="169">
        <v>375</v>
      </c>
      <c r="L117" s="171"/>
      <c r="M117" s="180">
        <v>675</v>
      </c>
      <c r="N117" s="171"/>
      <c r="O117" s="124"/>
      <c r="P117" s="121"/>
    </row>
    <row r="118" spans="1:15" ht="13.5" thickBot="1">
      <c r="A118" s="28"/>
      <c r="B118" s="47"/>
      <c r="C118" s="47"/>
      <c r="D118" s="30" t="s">
        <v>23</v>
      </c>
      <c r="E118" s="75"/>
      <c r="F118" s="82">
        <f>SUM(E99:E107)</f>
        <v>9787</v>
      </c>
      <c r="G118" s="75"/>
      <c r="H118" s="82">
        <f>SUM(G99:G107)</f>
        <v>9887</v>
      </c>
      <c r="I118" s="75"/>
      <c r="J118" s="82">
        <f>SUM(I99:I107)</f>
        <v>9752</v>
      </c>
      <c r="K118" s="166"/>
      <c r="L118" s="168">
        <f>SUM(K99:K117)</f>
        <v>13857</v>
      </c>
      <c r="M118" s="166"/>
      <c r="N118" s="168">
        <f>SUM(M99:M117)</f>
        <v>17684</v>
      </c>
      <c r="O118" s="79"/>
    </row>
    <row r="119" spans="1:15" ht="12.75">
      <c r="A119" s="10" t="s">
        <v>52</v>
      </c>
      <c r="B119" s="42" t="s">
        <v>93</v>
      </c>
      <c r="C119" s="42">
        <v>1</v>
      </c>
      <c r="D119" s="12" t="s">
        <v>94</v>
      </c>
      <c r="E119" s="87">
        <v>700</v>
      </c>
      <c r="F119" s="68"/>
      <c r="G119" s="87">
        <v>560</v>
      </c>
      <c r="H119" s="68"/>
      <c r="I119" s="87">
        <v>620</v>
      </c>
      <c r="J119" s="68"/>
      <c r="K119" s="162">
        <v>715</v>
      </c>
      <c r="L119" s="163"/>
      <c r="M119" s="191">
        <v>700</v>
      </c>
      <c r="N119" s="163"/>
      <c r="O119" s="69"/>
    </row>
    <row r="120" spans="1:15" ht="12.75">
      <c r="A120" s="34"/>
      <c r="B120" s="43"/>
      <c r="C120" s="44">
        <f aca="true" t="shared" si="5" ref="C120:C128">+C119+1</f>
        <v>2</v>
      </c>
      <c r="D120" s="23" t="s">
        <v>95</v>
      </c>
      <c r="E120" s="92">
        <v>90</v>
      </c>
      <c r="F120" s="70"/>
      <c r="G120" s="92">
        <v>90</v>
      </c>
      <c r="H120" s="70"/>
      <c r="I120" s="92">
        <v>90</v>
      </c>
      <c r="J120" s="70"/>
      <c r="K120" s="172">
        <v>90</v>
      </c>
      <c r="L120" s="173"/>
      <c r="M120" s="172">
        <v>90</v>
      </c>
      <c r="N120" s="173"/>
      <c r="O120" s="69"/>
    </row>
    <row r="121" spans="1:15" ht="12.75">
      <c r="A121" s="34"/>
      <c r="B121" s="43"/>
      <c r="C121" s="44">
        <f t="shared" si="5"/>
        <v>3</v>
      </c>
      <c r="D121" s="18" t="s">
        <v>96</v>
      </c>
      <c r="E121" s="71">
        <v>900</v>
      </c>
      <c r="F121" s="70"/>
      <c r="G121" s="71">
        <v>952</v>
      </c>
      <c r="H121" s="70"/>
      <c r="I121" s="71">
        <v>1300</v>
      </c>
      <c r="J121" s="70"/>
      <c r="K121" s="164">
        <v>1100</v>
      </c>
      <c r="L121" s="173"/>
      <c r="M121" s="192">
        <v>810</v>
      </c>
      <c r="N121" s="173"/>
      <c r="O121" s="69"/>
    </row>
    <row r="122" spans="1:16" ht="12.75">
      <c r="A122" s="16"/>
      <c r="B122" s="44"/>
      <c r="C122" s="44">
        <f t="shared" si="5"/>
        <v>4</v>
      </c>
      <c r="D122" s="18" t="s">
        <v>97</v>
      </c>
      <c r="E122" s="84">
        <f>-10824+1000+325</f>
        <v>-9499</v>
      </c>
      <c r="F122" s="72"/>
      <c r="G122" s="84">
        <f>-10824+570+325+2871-212</f>
        <v>-7270</v>
      </c>
      <c r="H122" s="72"/>
      <c r="I122" s="84">
        <f>-10824+570+325+2911-193-97-35-384</f>
        <v>-7727</v>
      </c>
      <c r="J122" s="72"/>
      <c r="K122" s="169">
        <f>1700-400+800+280+60</f>
        <v>2440</v>
      </c>
      <c r="L122" s="165"/>
      <c r="M122" s="180">
        <v>2200</v>
      </c>
      <c r="N122" s="165"/>
      <c r="O122" s="95"/>
      <c r="P122" s="95"/>
    </row>
    <row r="123" spans="1:15" ht="12.75">
      <c r="A123" s="20"/>
      <c r="B123" s="45"/>
      <c r="C123" s="44">
        <f t="shared" si="5"/>
        <v>5</v>
      </c>
      <c r="D123" s="18" t="s">
        <v>98</v>
      </c>
      <c r="E123" s="94">
        <v>124</v>
      </c>
      <c r="F123" s="88"/>
      <c r="G123" s="94">
        <v>124</v>
      </c>
      <c r="H123" s="88"/>
      <c r="I123" s="94">
        <v>124</v>
      </c>
      <c r="J123" s="88"/>
      <c r="K123" s="169">
        <v>125</v>
      </c>
      <c r="L123" s="171"/>
      <c r="M123" s="169">
        <v>125</v>
      </c>
      <c r="N123" s="171"/>
      <c r="O123" s="69"/>
    </row>
    <row r="124" spans="1:15" ht="12.75">
      <c r="A124" s="20"/>
      <c r="B124" s="45"/>
      <c r="C124" s="44">
        <f t="shared" si="5"/>
        <v>6</v>
      </c>
      <c r="D124" s="18" t="s">
        <v>123</v>
      </c>
      <c r="E124" s="94">
        <v>482</v>
      </c>
      <c r="F124" s="88"/>
      <c r="G124" s="94">
        <v>482</v>
      </c>
      <c r="H124" s="88"/>
      <c r="I124" s="94">
        <v>497</v>
      </c>
      <c r="J124" s="88"/>
      <c r="K124" s="169">
        <f>27+31</f>
        <v>58</v>
      </c>
      <c r="L124" s="171"/>
      <c r="M124" s="180">
        <v>57</v>
      </c>
      <c r="N124" s="171"/>
      <c r="O124" s="69"/>
    </row>
    <row r="125" spans="1:15" ht="12.75">
      <c r="A125" s="20"/>
      <c r="B125" s="45"/>
      <c r="C125" s="44">
        <f t="shared" si="5"/>
        <v>7</v>
      </c>
      <c r="D125" s="18" t="s">
        <v>99</v>
      </c>
      <c r="E125" s="94">
        <v>89</v>
      </c>
      <c r="F125" s="88"/>
      <c r="G125" s="94">
        <v>89</v>
      </c>
      <c r="H125" s="88"/>
      <c r="I125" s="94">
        <v>89</v>
      </c>
      <c r="J125" s="88"/>
      <c r="K125" s="169">
        <v>113</v>
      </c>
      <c r="L125" s="171"/>
      <c r="M125" s="169">
        <v>113</v>
      </c>
      <c r="N125" s="171"/>
      <c r="O125" s="69"/>
    </row>
    <row r="126" spans="1:15" ht="12.75">
      <c r="A126" s="20"/>
      <c r="B126" s="45"/>
      <c r="C126" s="44">
        <f t="shared" si="5"/>
        <v>8</v>
      </c>
      <c r="D126" s="18" t="s">
        <v>100</v>
      </c>
      <c r="E126" s="94">
        <v>0</v>
      </c>
      <c r="F126" s="88"/>
      <c r="G126" s="94">
        <v>100</v>
      </c>
      <c r="H126" s="88"/>
      <c r="I126" s="94">
        <v>100</v>
      </c>
      <c r="J126" s="88"/>
      <c r="K126" s="169">
        <f>80+8+71+8+65</f>
        <v>232</v>
      </c>
      <c r="L126" s="171"/>
      <c r="M126" s="180">
        <f>16+216+73</f>
        <v>305</v>
      </c>
      <c r="N126" s="171"/>
      <c r="O126" s="69"/>
    </row>
    <row r="127" spans="1:15" ht="12.75">
      <c r="A127" s="20"/>
      <c r="B127" s="45"/>
      <c r="C127" s="44">
        <f t="shared" si="5"/>
        <v>9</v>
      </c>
      <c r="D127" s="18" t="s">
        <v>135</v>
      </c>
      <c r="E127" s="94"/>
      <c r="F127" s="88"/>
      <c r="G127" s="94">
        <v>251</v>
      </c>
      <c r="H127" s="88"/>
      <c r="I127" s="94">
        <v>251</v>
      </c>
      <c r="J127" s="88"/>
      <c r="K127" s="169">
        <f>215+70</f>
        <v>285</v>
      </c>
      <c r="L127" s="165"/>
      <c r="M127" s="169">
        <f>215+70</f>
        <v>285</v>
      </c>
      <c r="N127" s="165"/>
      <c r="O127" s="69"/>
    </row>
    <row r="128" spans="1:15" ht="12.75">
      <c r="A128" s="20"/>
      <c r="B128" s="45"/>
      <c r="C128" s="44">
        <f t="shared" si="5"/>
        <v>10</v>
      </c>
      <c r="D128" s="18" t="s">
        <v>101</v>
      </c>
      <c r="E128" s="84">
        <v>704</v>
      </c>
      <c r="F128" s="88"/>
      <c r="G128" s="84">
        <v>373</v>
      </c>
      <c r="H128" s="88"/>
      <c r="I128" s="84">
        <v>359</v>
      </c>
      <c r="J128" s="88"/>
      <c r="K128" s="169">
        <v>477</v>
      </c>
      <c r="L128" s="171"/>
      <c r="M128" s="180">
        <v>487</v>
      </c>
      <c r="N128" s="171"/>
      <c r="O128" s="69"/>
    </row>
    <row r="129" spans="1:15" ht="13.5" thickBot="1">
      <c r="A129" s="28"/>
      <c r="B129" s="47"/>
      <c r="C129" s="47"/>
      <c r="D129" s="30" t="s">
        <v>23</v>
      </c>
      <c r="E129" s="75"/>
      <c r="F129" s="82">
        <f>SUM(E119:E128)</f>
        <v>-6410</v>
      </c>
      <c r="G129" s="75"/>
      <c r="H129" s="82">
        <f>SUM(G119:G128)</f>
        <v>-4249</v>
      </c>
      <c r="I129" s="75"/>
      <c r="J129" s="82">
        <f>SUM(I119:I128)</f>
        <v>-4297</v>
      </c>
      <c r="K129" s="166"/>
      <c r="L129" s="168">
        <f>SUM(K119:K128)</f>
        <v>5635</v>
      </c>
      <c r="M129" s="166"/>
      <c r="N129" s="168">
        <f>SUM(M119:M128)</f>
        <v>5172</v>
      </c>
      <c r="O129" s="79"/>
    </row>
    <row r="130" spans="1:15" ht="13.5" thickBot="1">
      <c r="A130" s="48" t="s">
        <v>54</v>
      </c>
      <c r="B130" s="49" t="s">
        <v>102</v>
      </c>
      <c r="C130" s="49"/>
      <c r="D130" s="50" t="s">
        <v>103</v>
      </c>
      <c r="E130" s="54">
        <v>0</v>
      </c>
      <c r="F130" s="96"/>
      <c r="G130" s="54">
        <v>0</v>
      </c>
      <c r="H130" s="96"/>
      <c r="I130" s="54">
        <v>0</v>
      </c>
      <c r="J130" s="96"/>
      <c r="K130" s="160">
        <v>900</v>
      </c>
      <c r="L130" s="185">
        <f>SUM(K130)</f>
        <v>900</v>
      </c>
      <c r="M130" s="195">
        <v>915</v>
      </c>
      <c r="N130" s="145">
        <f>SUM(M130)</f>
        <v>915</v>
      </c>
      <c r="O130" s="69"/>
    </row>
    <row r="131" spans="1:15" ht="13.5" thickBot="1">
      <c r="A131" s="98" t="s">
        <v>56</v>
      </c>
      <c r="B131" s="99" t="s">
        <v>128</v>
      </c>
      <c r="C131" s="99"/>
      <c r="D131" s="89"/>
      <c r="E131" s="100">
        <v>900</v>
      </c>
      <c r="F131" s="101">
        <f>SUM(E131)</f>
        <v>900</v>
      </c>
      <c r="G131" s="100">
        <v>1250</v>
      </c>
      <c r="H131" s="101">
        <f>SUM(G131)</f>
        <v>1250</v>
      </c>
      <c r="I131" s="100">
        <v>1250</v>
      </c>
      <c r="J131" s="101">
        <f>SUM(I131)</f>
        <v>1250</v>
      </c>
      <c r="K131" s="174">
        <v>1460</v>
      </c>
      <c r="L131" s="186">
        <f>SUM(K131)</f>
        <v>1460</v>
      </c>
      <c r="M131" s="189">
        <v>1920</v>
      </c>
      <c r="N131" s="175">
        <f>SUM(M131)</f>
        <v>1920</v>
      </c>
      <c r="O131" s="69"/>
    </row>
    <row r="132" spans="1:15" ht="13.5" thickBot="1">
      <c r="A132" s="102" t="s">
        <v>62</v>
      </c>
      <c r="B132" s="49" t="s">
        <v>63</v>
      </c>
      <c r="C132" s="86"/>
      <c r="D132" s="103"/>
      <c r="E132" s="104">
        <v>610</v>
      </c>
      <c r="F132" s="97">
        <f>SUM(E132)</f>
        <v>610</v>
      </c>
      <c r="G132" s="104">
        <v>610</v>
      </c>
      <c r="H132" s="97">
        <f>SUM(G132)</f>
        <v>610</v>
      </c>
      <c r="I132" s="104">
        <v>610</v>
      </c>
      <c r="J132" s="97">
        <f>SUM(I132)</f>
        <v>610</v>
      </c>
      <c r="K132" s="176">
        <v>630</v>
      </c>
      <c r="L132" s="185">
        <f>SUM(K132)</f>
        <v>630</v>
      </c>
      <c r="M132" s="198">
        <v>650</v>
      </c>
      <c r="N132" s="145">
        <f>SUM(M132)</f>
        <v>650</v>
      </c>
      <c r="O132" s="79"/>
    </row>
    <row r="133" spans="1:15" ht="12.75">
      <c r="A133" s="55"/>
      <c r="B133" s="42" t="s">
        <v>104</v>
      </c>
      <c r="C133" s="42"/>
      <c r="D133" s="12"/>
      <c r="E133" s="87"/>
      <c r="F133" s="105">
        <f>SUM(F68:F132)</f>
        <v>67691</v>
      </c>
      <c r="G133" s="87"/>
      <c r="H133" s="105">
        <f>SUM(H68:H132)</f>
        <v>67324</v>
      </c>
      <c r="I133" s="87"/>
      <c r="J133" s="105">
        <f>SUM(J68:J132)</f>
        <v>68386</v>
      </c>
      <c r="K133" s="67"/>
      <c r="L133" s="141">
        <f>SUM(L68:L132)</f>
        <v>98850</v>
      </c>
      <c r="M133" s="67"/>
      <c r="N133" s="141">
        <f>SUM(N68:N132)</f>
        <v>101278</v>
      </c>
      <c r="O133" s="106"/>
    </row>
    <row r="134" spans="1:16" ht="13.5" thickBot="1">
      <c r="A134" s="58"/>
      <c r="B134" s="47" t="s">
        <v>105</v>
      </c>
      <c r="C134" s="47"/>
      <c r="D134" s="30"/>
      <c r="E134" s="75"/>
      <c r="F134" s="107">
        <f>+F133-610</f>
        <v>67081</v>
      </c>
      <c r="G134" s="75"/>
      <c r="H134" s="107">
        <f>+H133-610</f>
        <v>66714</v>
      </c>
      <c r="I134" s="75"/>
      <c r="J134" s="107">
        <f>+J133-610</f>
        <v>67776</v>
      </c>
      <c r="K134" s="75"/>
      <c r="L134" s="142">
        <f>+L133-630</f>
        <v>98220</v>
      </c>
      <c r="M134" s="75"/>
      <c r="N134" s="142">
        <f>+N133-650</f>
        <v>100628</v>
      </c>
      <c r="O134" s="26">
        <f>+N134-N98-O116</f>
        <v>57813</v>
      </c>
      <c r="P134" t="s">
        <v>106</v>
      </c>
    </row>
    <row r="135" spans="1:16" ht="13.5" thickBot="1">
      <c r="A135" s="108"/>
      <c r="B135" s="108"/>
      <c r="C135" s="108"/>
      <c r="D135" s="108"/>
      <c r="E135" s="95"/>
      <c r="F135" s="109"/>
      <c r="G135" s="95"/>
      <c r="H135" s="109"/>
      <c r="I135" s="95"/>
      <c r="J135" s="109"/>
      <c r="K135" s="95"/>
      <c r="L135" s="109"/>
      <c r="M135" s="95"/>
      <c r="N135" s="109"/>
      <c r="O135" s="26">
        <f>+O57-O134</f>
        <v>22930.899999999994</v>
      </c>
      <c r="P135" t="s">
        <v>107</v>
      </c>
    </row>
    <row r="136" spans="1:16" ht="13.5" thickBot="1">
      <c r="A136" s="110"/>
      <c r="B136" s="111" t="s">
        <v>108</v>
      </c>
      <c r="C136" s="122"/>
      <c r="D136" s="123"/>
      <c r="E136" s="97"/>
      <c r="F136" s="97">
        <f>+F57-F134</f>
        <v>-5012.699999999997</v>
      </c>
      <c r="G136" s="97"/>
      <c r="H136" s="97">
        <f>+H57-H134</f>
        <v>-4052.699999999997</v>
      </c>
      <c r="I136" s="97"/>
      <c r="J136" s="97">
        <f>+J57-J134</f>
        <v>-3825.699999999997</v>
      </c>
      <c r="K136" s="97"/>
      <c r="L136" s="145">
        <f>+L57-L134</f>
        <v>4534</v>
      </c>
      <c r="M136" s="97"/>
      <c r="N136" s="145">
        <f>+N57-N134</f>
        <v>2134</v>
      </c>
      <c r="O136" s="112">
        <f>+O135/O57</f>
        <v>0.283995447334102</v>
      </c>
      <c r="P136" t="s">
        <v>109</v>
      </c>
    </row>
    <row r="137" spans="1:15" ht="12.75">
      <c r="A137" s="110"/>
      <c r="B137" s="125" t="s">
        <v>110</v>
      </c>
      <c r="C137" s="138" t="s">
        <v>136</v>
      </c>
      <c r="D137" s="132"/>
      <c r="E137" s="133"/>
      <c r="F137" s="134"/>
      <c r="G137" s="133"/>
      <c r="H137" s="134"/>
      <c r="I137" s="133"/>
      <c r="J137" s="133"/>
      <c r="K137" s="177">
        <v>10600</v>
      </c>
      <c r="L137" s="146"/>
      <c r="M137" s="177">
        <v>10600</v>
      </c>
      <c r="N137" s="146"/>
      <c r="O137" s="112"/>
    </row>
    <row r="138" spans="2:21" ht="12.75">
      <c r="B138" s="126"/>
      <c r="C138" s="139" t="s">
        <v>111</v>
      </c>
      <c r="D138" s="135"/>
      <c r="E138" s="136">
        <f>-606-224-3000-1875-2873</f>
        <v>-8578</v>
      </c>
      <c r="F138" s="137"/>
      <c r="G138" s="136">
        <f>-606-224-3000-1875-2873-130</f>
        <v>-8708</v>
      </c>
      <c r="H138" s="137"/>
      <c r="I138" s="136">
        <f>-606-224-3000-1875-2873-143</f>
        <v>-8721</v>
      </c>
      <c r="J138" s="137"/>
      <c r="K138" s="178">
        <f>-3125-2500-225-184-1500-10600</f>
        <v>-18134</v>
      </c>
      <c r="L138" s="147"/>
      <c r="M138" s="199">
        <f>-3125-2500-225-184-10600</f>
        <v>-16634</v>
      </c>
      <c r="N138" s="147"/>
      <c r="O138" s="79"/>
      <c r="U138" s="140"/>
    </row>
    <row r="139" spans="2:15" ht="13.5" thickBot="1">
      <c r="B139" s="115" t="s">
        <v>112</v>
      </c>
      <c r="C139" s="127" t="s">
        <v>113</v>
      </c>
      <c r="D139" s="128"/>
      <c r="E139" s="129">
        <v>-27</v>
      </c>
      <c r="F139" s="130">
        <f>SUM(E138:E139)</f>
        <v>-8605</v>
      </c>
      <c r="G139" s="129">
        <v>0</v>
      </c>
      <c r="H139" s="130">
        <f>SUM(G138:G139)</f>
        <v>-8708</v>
      </c>
      <c r="I139" s="129">
        <v>400</v>
      </c>
      <c r="J139" s="131">
        <f>SUM(I138:I139)</f>
        <v>-8321</v>
      </c>
      <c r="K139" s="187">
        <v>3000</v>
      </c>
      <c r="L139" s="148">
        <f>SUM(K137:K139)</f>
        <v>-4534</v>
      </c>
      <c r="M139" s="200">
        <v>3900</v>
      </c>
      <c r="N139" s="148">
        <f>SUM(M137:M139)</f>
        <v>-2134</v>
      </c>
      <c r="O139" s="188">
        <f>SUM(N136:N139)</f>
        <v>0</v>
      </c>
    </row>
    <row r="140" spans="2:15" ht="12.75">
      <c r="B140" s="116" t="s">
        <v>114</v>
      </c>
      <c r="C140" s="43"/>
      <c r="D140" s="43"/>
      <c r="E140" s="117">
        <v>3802</v>
      </c>
      <c r="F140" s="93" t="s">
        <v>115</v>
      </c>
      <c r="G140" s="117">
        <v>3802</v>
      </c>
      <c r="H140" s="93" t="s">
        <v>115</v>
      </c>
      <c r="I140" s="117">
        <v>3802</v>
      </c>
      <c r="J140" s="93" t="s">
        <v>115</v>
      </c>
      <c r="K140" s="117">
        <v>9198</v>
      </c>
      <c r="L140" s="93" t="s">
        <v>115</v>
      </c>
      <c r="M140" s="117">
        <v>9198</v>
      </c>
      <c r="N140" s="93" t="s">
        <v>115</v>
      </c>
      <c r="O140" s="79"/>
    </row>
    <row r="141" spans="2:15" ht="12.75">
      <c r="B141" s="114" t="s">
        <v>116</v>
      </c>
      <c r="C141" s="44"/>
      <c r="D141" s="44"/>
      <c r="E141" s="118">
        <f>+E139-E144</f>
        <v>-27</v>
      </c>
      <c r="F141" s="80" t="s">
        <v>115</v>
      </c>
      <c r="G141" s="118">
        <f>+G139-G144</f>
        <v>0</v>
      </c>
      <c r="H141" s="80" t="s">
        <v>115</v>
      </c>
      <c r="I141" s="118">
        <f>+I139-I144</f>
        <v>400</v>
      </c>
      <c r="J141" s="80" t="s">
        <v>115</v>
      </c>
      <c r="K141" s="118">
        <f>+K139-K144</f>
        <v>3000</v>
      </c>
      <c r="L141" s="80" t="s">
        <v>115</v>
      </c>
      <c r="M141" s="118">
        <f>+M139-M144</f>
        <v>3900</v>
      </c>
      <c r="N141" s="80" t="s">
        <v>115</v>
      </c>
      <c r="O141" s="79"/>
    </row>
    <row r="142" spans="2:15" ht="13.5" thickBot="1">
      <c r="B142" s="58" t="s">
        <v>117</v>
      </c>
      <c r="C142" s="47"/>
      <c r="D142" s="47"/>
      <c r="E142" s="119">
        <f>+E140-E141</f>
        <v>3829</v>
      </c>
      <c r="F142" s="82" t="s">
        <v>115</v>
      </c>
      <c r="G142" s="119">
        <f>+G140-G141</f>
        <v>3802</v>
      </c>
      <c r="H142" s="82" t="s">
        <v>115</v>
      </c>
      <c r="I142" s="119">
        <f>+I140-I141</f>
        <v>3402</v>
      </c>
      <c r="J142" s="82" t="s">
        <v>115</v>
      </c>
      <c r="K142" s="119">
        <f>+K140-K141</f>
        <v>6198</v>
      </c>
      <c r="L142" s="82" t="s">
        <v>115</v>
      </c>
      <c r="M142" s="119">
        <f>+M140-M141</f>
        <v>5298</v>
      </c>
      <c r="N142" s="82" t="s">
        <v>115</v>
      </c>
      <c r="O142" s="79"/>
    </row>
    <row r="143" spans="2:15" ht="12.75">
      <c r="B143" s="55" t="s">
        <v>118</v>
      </c>
      <c r="C143" s="42"/>
      <c r="D143" s="42"/>
      <c r="E143" s="120">
        <v>198</v>
      </c>
      <c r="F143" s="68" t="s">
        <v>115</v>
      </c>
      <c r="G143" s="120">
        <v>198</v>
      </c>
      <c r="H143" s="68" t="s">
        <v>115</v>
      </c>
      <c r="I143" s="120">
        <v>198</v>
      </c>
      <c r="J143" s="68" t="s">
        <v>115</v>
      </c>
      <c r="K143" s="120">
        <v>300</v>
      </c>
      <c r="L143" s="68" t="s">
        <v>115</v>
      </c>
      <c r="M143" s="120">
        <v>300</v>
      </c>
      <c r="N143" s="68" t="s">
        <v>115</v>
      </c>
      <c r="O143" s="69"/>
    </row>
    <row r="144" spans="2:14" ht="12.75">
      <c r="B144" s="114" t="s">
        <v>119</v>
      </c>
      <c r="C144" s="44"/>
      <c r="D144" s="44"/>
      <c r="E144" s="118">
        <f>E132-E55</f>
        <v>0</v>
      </c>
      <c r="F144" s="72" t="s">
        <v>115</v>
      </c>
      <c r="G144" s="118">
        <f>G132-G55</f>
        <v>0</v>
      </c>
      <c r="H144" s="72" t="s">
        <v>115</v>
      </c>
      <c r="I144" s="118">
        <f>I132-I55</f>
        <v>0</v>
      </c>
      <c r="J144" s="72" t="s">
        <v>115</v>
      </c>
      <c r="K144" s="118">
        <f>K132-K55</f>
        <v>0</v>
      </c>
      <c r="L144" s="72" t="s">
        <v>115</v>
      </c>
      <c r="M144" s="118">
        <f>M132-M55</f>
        <v>0</v>
      </c>
      <c r="N144" s="72" t="s">
        <v>115</v>
      </c>
    </row>
    <row r="145" spans="2:15" ht="13.5" thickBot="1">
      <c r="B145" s="58" t="s">
        <v>120</v>
      </c>
      <c r="C145" s="47"/>
      <c r="D145" s="47"/>
      <c r="E145" s="119">
        <f>+E143-E144</f>
        <v>198</v>
      </c>
      <c r="F145" s="90" t="s">
        <v>115</v>
      </c>
      <c r="G145" s="119">
        <f>+G143-G144</f>
        <v>198</v>
      </c>
      <c r="H145" s="90" t="s">
        <v>115</v>
      </c>
      <c r="I145" s="119">
        <f>+I143-I144</f>
        <v>198</v>
      </c>
      <c r="J145" s="90" t="s">
        <v>115</v>
      </c>
      <c r="K145" s="119">
        <f>+K143-K144</f>
        <v>300</v>
      </c>
      <c r="L145" s="90" t="s">
        <v>115</v>
      </c>
      <c r="M145" s="119">
        <f>+M143-M144</f>
        <v>300</v>
      </c>
      <c r="N145" s="90" t="s">
        <v>115</v>
      </c>
      <c r="O145" s="69"/>
    </row>
    <row r="147" ht="12.75">
      <c r="B147" s="108"/>
    </row>
    <row r="637" ht="12.75">
      <c r="J637" s="121" t="s">
        <v>126</v>
      </c>
    </row>
  </sheetData>
  <sheetProtection/>
  <mergeCells count="10">
    <mergeCell ref="K1:L1"/>
    <mergeCell ref="K58:L58"/>
    <mergeCell ref="M1:N1"/>
    <mergeCell ref="M58:N58"/>
    <mergeCell ref="E58:F58"/>
    <mergeCell ref="G58:H58"/>
    <mergeCell ref="I58:J58"/>
    <mergeCell ref="E1:F1"/>
    <mergeCell ref="G1:H1"/>
    <mergeCell ref="I1:J1"/>
  </mergeCells>
  <printOptions/>
  <pageMargins left="1.1023622047244095" right="0.9055118110236221" top="0.6692913385826772" bottom="0.7086614173228347" header="0.3937007874015748" footer="0.4330708661417323"/>
  <pageSetup horizontalDpi="600" verticalDpi="600" orientation="portrait" paperSize="9" scale="71" r:id="rId1"/>
  <headerFooter alignWithMargins="0">
    <oddHeader>&amp;C&amp;"Arial,Tučné"&amp;14V. úprava rozpočtu města Blovice na rok 2014 schválená ZM 15.12.2014</oddHeader>
    <oddFooter>&amp;Lsestavil: Ing. Hodek
</oddFooter>
  </headerFooter>
  <rowBreaks count="2" manualBreakCount="2">
    <brk id="57" max="255" man="1"/>
    <brk id="1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2014-12-17T14:57:35Z</cp:lastPrinted>
  <dcterms:created xsi:type="dcterms:W3CDTF">2013-05-23T11:23:45Z</dcterms:created>
  <dcterms:modified xsi:type="dcterms:W3CDTF">2014-12-17T15:02:05Z</dcterms:modified>
  <cp:category/>
  <cp:version/>
  <cp:contentType/>
  <cp:contentStatus/>
</cp:coreProperties>
</file>