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8780" windowHeight="12216" activeTab="0"/>
  </bookViews>
  <sheets>
    <sheet name="Přímy_výdaje" sheetId="1" r:id="rId1"/>
    <sheet name="výhled06_11" sheetId="2" r:id="rId2"/>
  </sheets>
  <definedNames>
    <definedName name="_xlnm.Print_Area" localSheetId="0">'Přímy_výdaje'!$A$1:$L$112</definedName>
    <definedName name="_xlnm.Print_Area" localSheetId="1">'výhled06_11'!$A$1:$H$71</definedName>
  </definedNames>
  <calcPr fullCalcOnLoad="1"/>
</workbook>
</file>

<file path=xl/sharedStrings.xml><?xml version="1.0" encoding="utf-8"?>
<sst xmlns="http://schemas.openxmlformats.org/spreadsheetml/2006/main" count="278" uniqueCount="168">
  <si>
    <t xml:space="preserve">Příjmy - tis.Kč </t>
  </si>
  <si>
    <t>kap</t>
  </si>
  <si>
    <t>titul</t>
  </si>
  <si>
    <t>č.</t>
  </si>
  <si>
    <t>podtitul</t>
  </si>
  <si>
    <t>celkem</t>
  </si>
  <si>
    <t>I.</t>
  </si>
  <si>
    <t>ŠKOLSTVÍ</t>
  </si>
  <si>
    <t>II.</t>
  </si>
  <si>
    <t>DOTACE</t>
  </si>
  <si>
    <t>výkon st.správy</t>
  </si>
  <si>
    <t>školství</t>
  </si>
  <si>
    <t>soc. dávky</t>
  </si>
  <si>
    <t>III.</t>
  </si>
  <si>
    <t>DANĚ</t>
  </si>
  <si>
    <t>z nemovitosti</t>
  </si>
  <si>
    <t>sdílené daně</t>
  </si>
  <si>
    <t>daň z P za město</t>
  </si>
  <si>
    <t>Celkem</t>
  </si>
  <si>
    <t>IV.</t>
  </si>
  <si>
    <t>Popl.správní</t>
  </si>
  <si>
    <t>stavební povol.</t>
  </si>
  <si>
    <t>hrací automaty</t>
  </si>
  <si>
    <t>ověřování</t>
  </si>
  <si>
    <t>živnostenské</t>
  </si>
  <si>
    <t>Popl.místní</t>
  </si>
  <si>
    <t>ze psů</t>
  </si>
  <si>
    <t>z veřejného pr.</t>
  </si>
  <si>
    <t>likv.odpadu (občané)</t>
  </si>
  <si>
    <t>V.</t>
  </si>
  <si>
    <t>PRODEJE</t>
  </si>
  <si>
    <t>VI.</t>
  </si>
  <si>
    <t>NÁJMY</t>
  </si>
  <si>
    <t>z nebyt. prostor - KB</t>
  </si>
  <si>
    <t>ost.nebyt.prostory, pozemky</t>
  </si>
  <si>
    <t>TEBYT</t>
  </si>
  <si>
    <t>VII.</t>
  </si>
  <si>
    <t>LESY</t>
  </si>
  <si>
    <t>VIII.</t>
  </si>
  <si>
    <t>IX.</t>
  </si>
  <si>
    <t>ZVL.PŘÍJMY</t>
  </si>
  <si>
    <t>úroky,ostatní</t>
  </si>
  <si>
    <t>provoz městs.busu</t>
  </si>
  <si>
    <t>převod od byt.družstva Am.</t>
  </si>
  <si>
    <t>odpad.hospodářství</t>
  </si>
  <si>
    <t>pokuty,sankce</t>
  </si>
  <si>
    <t>ost.nahodilé příjmy</t>
  </si>
  <si>
    <t>CELKEM PŘÍJMY PŘED KONS.</t>
  </si>
  <si>
    <t>CELKEM PŘÍJMY PO KONS.</t>
  </si>
  <si>
    <t xml:space="preserve">Výdaje - tis.Kč </t>
  </si>
  <si>
    <t>ZŠ-plavecká učebna</t>
  </si>
  <si>
    <t>ZŠ-ŠJ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</si>
  <si>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</si>
  <si>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</si>
  <si>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</si>
  <si>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</si>
  <si>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</si>
  <si>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</si>
  <si>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</si>
  <si>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</si>
  <si>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LD- blov.noviny</t>
  </si>
  <si>
    <t>knihovna</t>
  </si>
  <si>
    <t>Sokol</t>
  </si>
  <si>
    <t>ost.spolky+kult.akce</t>
  </si>
  <si>
    <t>ROZVOJ MĚSTA</t>
  </si>
  <si>
    <t>ÚDRŽBA MĚSTA</t>
  </si>
  <si>
    <t>opravy MK+dopr.zn.+havárie</t>
  </si>
  <si>
    <t xml:space="preserve">úklid, zimní údržba </t>
  </si>
  <si>
    <t>odpad</t>
  </si>
  <si>
    <t>prac.četa města</t>
  </si>
  <si>
    <t>věř.osvětlení</t>
  </si>
  <si>
    <t>SDH Blovice - provoz</t>
  </si>
  <si>
    <t>RŮZNÉ VÝDAJE</t>
  </si>
  <si>
    <t>odvody FÚ</t>
  </si>
  <si>
    <t>dopr.obslužnost+BUS</t>
  </si>
  <si>
    <t>čistírna</t>
  </si>
  <si>
    <t>úroky z úvěrů</t>
  </si>
  <si>
    <t>odvod daně za město</t>
  </si>
  <si>
    <t>Mikroregion - fin.spoluúčast</t>
  </si>
  <si>
    <t>splátka přivaděč</t>
  </si>
  <si>
    <t>ostatní výdaje</t>
  </si>
  <si>
    <t>SOC.VĚCI</t>
  </si>
  <si>
    <t>peč.služba</t>
  </si>
  <si>
    <t>CELKEM VÝDAJE PŘED KONS.</t>
  </si>
  <si>
    <t>CELKEM VÝDAJE PO KONS.</t>
  </si>
  <si>
    <t>HV PO KONSOLIDACI</t>
  </si>
  <si>
    <t>Financování</t>
  </si>
  <si>
    <t>Splátky úvěrů</t>
  </si>
  <si>
    <t>CELKEM</t>
  </si>
  <si>
    <t>Změna stavu krátk.prostředků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</si>
  <si>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</si>
  <si>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</si>
  <si>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</si>
  <si>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</si>
  <si>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</si>
  <si>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</si>
  <si>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BYT.HOSP - převod</t>
  </si>
  <si>
    <t>Poč.stav prostř.na účtech rozp.hosp.(z r.2006)</t>
  </si>
  <si>
    <t>Štítov č.p.20</t>
  </si>
  <si>
    <t>ZŠ vč.družiny a dopr.hřiště</t>
  </si>
  <si>
    <t>LD provoz a opravy</t>
  </si>
  <si>
    <t>ul.U nádraží</t>
  </si>
  <si>
    <t>voda, kanal., plyn</t>
  </si>
  <si>
    <t>zeleň, hřbitov</t>
  </si>
  <si>
    <t>Družstevní ulice</t>
  </si>
  <si>
    <t xml:space="preserve">bytů </t>
  </si>
  <si>
    <t>evidence (OP,pasy, ŘP, dopr....)</t>
  </si>
  <si>
    <t>nevyuž.soc.dávky a dotace na volby</t>
  </si>
  <si>
    <t>Ost.akce (PD)</t>
  </si>
  <si>
    <t>vstupné, ubyt.kapacita, ost.</t>
  </si>
  <si>
    <t>FONDOVÉ HOSPODAŘENÍ (SOC.FOND)</t>
  </si>
  <si>
    <t>Bohušov - odvodnění</t>
  </si>
  <si>
    <t>vratka dotace ZŠ + plyn Vlčice</t>
  </si>
  <si>
    <t>čp.205,202</t>
  </si>
  <si>
    <t>ostatní nemovitosti</t>
  </si>
  <si>
    <t>akcie ČS</t>
  </si>
  <si>
    <t>I.úprava</t>
  </si>
  <si>
    <t>rozpočet</t>
  </si>
  <si>
    <t>ostatní (ÚP, LČR, KúPK)</t>
  </si>
  <si>
    <t>Revolving.a kontokorent.úvěr</t>
  </si>
  <si>
    <t>Malé náměstí</t>
  </si>
  <si>
    <t>Dětské hřiště ul.5.května</t>
  </si>
  <si>
    <t xml:space="preserve">"Čistá Berounka" </t>
  </si>
  <si>
    <t>Nadace ČEZ - dar na dětské hřiště</t>
  </si>
  <si>
    <t>II.úprava</t>
  </si>
  <si>
    <t>návrh III.úpravy</t>
  </si>
  <si>
    <t>ČOV, kanalizace (dopl.SFŽP)</t>
  </si>
  <si>
    <t>"Čistá Berounka" provoz svazku</t>
  </si>
  <si>
    <t>MŠ Blovice (střecha + kotelna)</t>
  </si>
  <si>
    <t>kotelna MŠ Blovice</t>
  </si>
  <si>
    <t>přijaté pojistné plnění</t>
  </si>
  <si>
    <t>hřbitov</t>
  </si>
  <si>
    <t>Poliklinika rekonstrukce PD</t>
  </si>
  <si>
    <t xml:space="preserve">Příjmy </t>
  </si>
  <si>
    <t>výsl.2006</t>
  </si>
  <si>
    <t>úpr.2007</t>
  </si>
  <si>
    <t>Školství</t>
  </si>
  <si>
    <t>Dotace</t>
  </si>
  <si>
    <t>Daně</t>
  </si>
  <si>
    <t xml:space="preserve">Poplatky </t>
  </si>
  <si>
    <t>Prodeje</t>
  </si>
  <si>
    <t>Nájmy</t>
  </si>
  <si>
    <t>Lesy</t>
  </si>
  <si>
    <t>BH, převod z FRB</t>
  </si>
  <si>
    <t>Zvl. Příjmy</t>
  </si>
  <si>
    <t>X.</t>
  </si>
  <si>
    <t>Fondové hospodaření</t>
  </si>
  <si>
    <t>CELKEM PO KONS.</t>
  </si>
  <si>
    <t xml:space="preserve">Výdaje 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</si>
  <si>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</si>
  <si>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</si>
  <si>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</si>
  <si>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</si>
  <si>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</si>
  <si>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</si>
  <si>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</si>
  <si>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</si>
  <si>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</si>
  <si>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</si>
  <si>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</si>
  <si>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>Přijaté úvěry - již schválené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</si>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</sst>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0\ &quot;Kč&quot;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"/>
    <numFmt numFmtId="185" formatCode="m/d/yyyy"/>
    <numFmt numFmtId="186" formatCode="0.00000"/>
    <numFmt numFmtId="187" formatCode="0.0000"/>
    <numFmt numFmtId="188" formatCode="_-* #,##0.0\ &quot;Kč&quot;_-;\-* #,##0.0\ &quot;Kč&quot;_-;_-* &quot;-&quot;??\ &quot;Kč&quot;_-;_-@_-"/>
    <numFmt numFmtId="189" formatCode="_-* #,##0\ &quot;Kč&quot;_-;\-* #,##0\ &quot;Kč&quot;_-;_-* &quot;-&quot;??\ &quot;Kč&quot;_-;_-@_-"/>
    <numFmt numFmtId="190" formatCode="#,##0.00\ [$Kč-405]"/>
    <numFmt numFmtId="191" formatCode="#,##0.000\ [$Kč-405]"/>
    <numFmt numFmtId="192" formatCode="#,##0.0\ [$Kč-405]"/>
    <numFmt numFmtId="193" formatCode="#,##0\ [$Kč-405]"/>
    <numFmt numFmtId="194" formatCode="&quot;Kč&quot;#,##0"/>
    <numFmt numFmtId="195" formatCode="[$ESP]\ #,##0.00"/>
    <numFmt numFmtId="196" formatCode="0.000%"/>
    <numFmt numFmtId="197" formatCode="0.00000000"/>
    <numFmt numFmtId="198" formatCode="0.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0"/>
    </font>
    <font>
      <u val="single"/>
      <sz val="10"/>
      <name val="Arial CE"/>
      <family val="0"/>
    </font>
    <font>
      <i/>
      <sz val="10"/>
      <color indexed="8"/>
      <name val="Arial CE"/>
      <family val="0"/>
    </font>
    <font>
      <b/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b/>
      <u val="single"/>
      <sz val="10"/>
      <name val="Arial CE"/>
      <family val="0"/>
    </font>
    <font>
      <b/>
      <i/>
      <sz val="10"/>
      <color indexed="8"/>
      <name val="Arial CE"/>
      <family val="0"/>
    </font>
    <font>
      <b/>
      <sz val="9"/>
      <name val="Arial CE"/>
      <family val="2"/>
    </font>
    <font>
      <b/>
      <i/>
      <sz val="13.25"/>
      <name val="Arial CE"/>
      <family val="2"/>
    </font>
    <font>
      <sz val="20"/>
      <name val="Arial CE"/>
      <family val="0"/>
    </font>
    <font>
      <sz val="15.75"/>
      <name val="Arial CE"/>
      <family val="0"/>
    </font>
    <font>
      <sz val="11.25"/>
      <name val="Arial CE"/>
      <family val="2"/>
    </font>
    <font>
      <sz val="8.75"/>
      <name val="Arial CE"/>
      <family val="0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25" xfId="0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29" xfId="0" applyBorder="1" applyAlignment="1">
      <alignment/>
    </xf>
    <xf numFmtId="0" fontId="4" fillId="0" borderId="12" xfId="0" applyFont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32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2" xfId="0" applyBorder="1" applyAlignment="1">
      <alignment/>
    </xf>
    <xf numFmtId="1" fontId="10" fillId="0" borderId="31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11" fillId="0" borderId="3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12" fillId="0" borderId="32" xfId="0" applyNumberFormat="1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11" fillId="0" borderId="31" xfId="0" applyNumberFormat="1" applyFont="1" applyFill="1" applyBorder="1" applyAlignment="1">
      <alignment/>
    </xf>
    <xf numFmtId="1" fontId="4" fillId="0" borderId="34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12" fillId="0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0" fillId="0" borderId="3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1" xfId="0" applyFont="1" applyFill="1" applyBorder="1" applyAlignment="1">
      <alignment/>
    </xf>
    <xf numFmtId="1" fontId="10" fillId="0" borderId="32" xfId="0" applyNumberFormat="1" applyFont="1" applyFill="1" applyBorder="1" applyAlignment="1">
      <alignment/>
    </xf>
    <xf numFmtId="0" fontId="8" fillId="0" borderId="27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0" fontId="13" fillId="0" borderId="36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180" fontId="6" fillId="0" borderId="29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32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Border="1" applyAlignment="1">
      <alignment/>
    </xf>
    <xf numFmtId="1" fontId="0" fillId="0" borderId="43" xfId="0" applyNumberFormat="1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32" xfId="0" applyNumberFormat="1" applyFont="1" applyFill="1" applyBorder="1" applyAlignment="1" applyProtection="1">
      <alignment/>
      <protection locked="0"/>
    </xf>
    <xf numFmtId="0" fontId="0" fillId="0" borderId="34" xfId="0" applyFon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6" fillId="0" borderId="21" xfId="0" applyNumberFormat="1" applyFont="1" applyFill="1" applyBorder="1" applyAlignment="1">
      <alignment/>
    </xf>
    <xf numFmtId="1" fontId="9" fillId="0" borderId="21" xfId="0" applyNumberFormat="1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1" fontId="0" fillId="0" borderId="0" xfId="0" applyNumberFormat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1" fontId="9" fillId="0" borderId="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51" xfId="0" applyNumberFormat="1" applyFont="1" applyBorder="1" applyAlignment="1">
      <alignment/>
    </xf>
    <xf numFmtId="1" fontId="0" fillId="0" borderId="34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52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53" xfId="0" applyNumberFormat="1" applyFont="1" applyBorder="1" applyAlignment="1">
      <alignment/>
    </xf>
    <xf numFmtId="1" fontId="0" fillId="0" borderId="38" xfId="0" applyNumberFormat="1" applyFont="1" applyBorder="1" applyAlignment="1">
      <alignment/>
    </xf>
    <xf numFmtId="0" fontId="4" fillId="0" borderId="40" xfId="0" applyFont="1" applyBorder="1" applyAlignment="1">
      <alignment/>
    </xf>
    <xf numFmtId="1" fontId="9" fillId="0" borderId="28" xfId="0" applyNumberFormat="1" applyFont="1" applyFill="1" applyBorder="1" applyAlignment="1">
      <alignment/>
    </xf>
    <xf numFmtId="1" fontId="9" fillId="0" borderId="36" xfId="0" applyNumberFormat="1" applyFont="1" applyFill="1" applyBorder="1" applyAlignment="1">
      <alignment/>
    </xf>
    <xf numFmtId="1" fontId="9" fillId="0" borderId="33" xfId="0" applyNumberFormat="1" applyFont="1" applyFill="1" applyBorder="1" applyAlignment="1">
      <alignment/>
    </xf>
    <xf numFmtId="1" fontId="6" fillId="0" borderId="33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4" fillId="0" borderId="1" xfId="0" applyFont="1" applyBorder="1" applyAlignment="1">
      <alignment/>
    </xf>
    <xf numFmtId="1" fontId="9" fillId="0" borderId="28" xfId="0" applyNumberFormat="1" applyFont="1" applyFill="1" applyBorder="1" applyAlignment="1">
      <alignment/>
    </xf>
    <xf numFmtId="1" fontId="9" fillId="0" borderId="36" xfId="0" applyNumberFormat="1" applyFont="1" applyFill="1" applyBorder="1" applyAlignment="1">
      <alignment/>
    </xf>
    <xf numFmtId="1" fontId="9" fillId="0" borderId="36" xfId="0" applyNumberFormat="1" applyFont="1" applyFill="1" applyBorder="1" applyAlignment="1">
      <alignment/>
    </xf>
    <xf numFmtId="1" fontId="6" fillId="0" borderId="3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0" fontId="4" fillId="0" borderId="39" xfId="0" applyFont="1" applyBorder="1" applyAlignment="1">
      <alignment/>
    </xf>
    <xf numFmtId="1" fontId="9" fillId="0" borderId="28" xfId="0" applyNumberFormat="1" applyFont="1" applyFill="1" applyBorder="1" applyAlignment="1">
      <alignment/>
    </xf>
    <xf numFmtId="1" fontId="9" fillId="0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4" fillId="0" borderId="28" xfId="0" applyNumberFormat="1" applyFont="1" applyBorder="1" applyAlignment="1">
      <alignment/>
    </xf>
    <xf numFmtId="1" fontId="4" fillId="0" borderId="36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9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1" fontId="6" fillId="0" borderId="54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3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" fontId="4" fillId="0" borderId="28" xfId="0" applyNumberFormat="1" applyFont="1" applyBorder="1" applyAlignment="1">
      <alignment/>
    </xf>
    <xf numFmtId="1" fontId="4" fillId="0" borderId="36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0" fontId="0" fillId="0" borderId="5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55" xfId="0" applyBorder="1" applyAlignment="1">
      <alignment/>
    </xf>
    <xf numFmtId="0" fontId="4" fillId="0" borderId="2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1" fontId="4" fillId="0" borderId="24" xfId="0" applyNumberFormat="1" applyFont="1" applyBorder="1" applyAlignment="1">
      <alignment/>
    </xf>
    <xf numFmtId="172" fontId="4" fillId="0" borderId="24" xfId="2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8" fontId="0" fillId="0" borderId="0" xfId="0" applyNumberFormat="1" applyAlignment="1">
      <alignment/>
    </xf>
    <xf numFmtId="14" fontId="4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1" u="none" baseline="0">
                <a:latin typeface="Arial CE"/>
                <a:ea typeface="Arial CE"/>
                <a:cs typeface="Arial CE"/>
              </a:rPr>
              <a:t>Město Blovice - rozpočtový výhled 2007-2011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85"/>
          <c:w val="1"/>
          <c:h val="0.8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výhled06_11!$B$57</c:f>
              <c:strCache>
                <c:ptCount val="1"/>
                <c:pt idx="0">
                  <c:v>Příjmy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výhled06_11!$C$55:$H$55</c:f>
              <c:strCache/>
            </c:strRef>
          </c:cat>
          <c:val>
            <c:numRef>
              <c:f>výhled06_11!$C$57:$H$57</c:f>
              <c:numCache/>
            </c:numRef>
          </c:val>
          <c:shape val="box"/>
        </c:ser>
        <c:ser>
          <c:idx val="1"/>
          <c:order val="1"/>
          <c:tx>
            <c:strRef>
              <c:f>výhled06_11!$B$58</c:f>
              <c:strCache>
                <c:ptCount val="1"/>
                <c:pt idx="0">
                  <c:v>Výdaje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výhled06_11!$C$55:$H$55</c:f>
              <c:strCache/>
            </c:strRef>
          </c:cat>
          <c:val>
            <c:numRef>
              <c:f>výhled06_11!$C$58:$H$58</c:f>
              <c:numCache/>
            </c:numRef>
          </c:val>
          <c:shape val="box"/>
        </c:ser>
        <c:shape val="box"/>
        <c:axId val="39685853"/>
        <c:axId val="21628358"/>
      </c:bar3D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628358"/>
        <c:crosses val="autoZero"/>
        <c:auto val="1"/>
        <c:lblOffset val="100"/>
        <c:noMultiLvlLbl val="0"/>
      </c:catAx>
      <c:valAx>
        <c:axId val="216283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E"/>
                    <a:ea typeface="Arial CE"/>
                    <a:cs typeface="Arial CE"/>
                  </a:rPr>
                  <a:t>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685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025"/>
          <c:y val="0.465"/>
          <c:w val="0.262"/>
          <c:h val="0.18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47625</xdr:rowOff>
    </xdr:from>
    <xdr:to>
      <xdr:col>8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47625" y="5010150"/>
        <a:ext cx="62865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2"/>
  <dimension ref="A1:M1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18.50390625" style="0" customWidth="1"/>
    <col min="3" max="3" width="4.125" style="0" customWidth="1"/>
    <col min="4" max="4" width="32.625" style="0" customWidth="1"/>
    <col min="5" max="5" width="1.12109375" style="0" customWidth="1"/>
    <col min="6" max="6" width="0.875" style="0" customWidth="1"/>
    <col min="7" max="7" width="1.00390625" style="0" customWidth="1"/>
    <col min="8" max="8" width="0.74609375" style="0" customWidth="1"/>
    <col min="9" max="9" width="8.625" style="0" customWidth="1"/>
    <col min="10" max="10" width="8.125" style="0" customWidth="1"/>
  </cols>
  <sheetData>
    <row r="1" spans="1:12" ht="18" thickBot="1">
      <c r="A1" s="1" t="s">
        <v>0</v>
      </c>
      <c r="B1" s="2"/>
      <c r="C1" s="2"/>
      <c r="D1" s="3"/>
      <c r="E1" s="281" t="s">
        <v>117</v>
      </c>
      <c r="F1" s="282"/>
      <c r="G1" s="281" t="s">
        <v>116</v>
      </c>
      <c r="H1" s="282"/>
      <c r="I1" s="281" t="s">
        <v>124</v>
      </c>
      <c r="J1" s="282"/>
      <c r="K1" s="279" t="s">
        <v>125</v>
      </c>
      <c r="L1" s="280"/>
    </row>
    <row r="2" spans="1:12" ht="13.5" thickBot="1">
      <c r="A2" s="4" t="s">
        <v>1</v>
      </c>
      <c r="B2" s="5" t="s">
        <v>2</v>
      </c>
      <c r="C2" s="5" t="s">
        <v>3</v>
      </c>
      <c r="D2" s="6" t="s">
        <v>4</v>
      </c>
      <c r="E2" s="102"/>
      <c r="F2" s="113"/>
      <c r="G2" s="102"/>
      <c r="H2" s="113"/>
      <c r="I2" s="102"/>
      <c r="J2" s="113" t="s">
        <v>5</v>
      </c>
      <c r="K2" s="102"/>
      <c r="L2" s="111" t="s">
        <v>5</v>
      </c>
    </row>
    <row r="3" spans="1:12" ht="12.75">
      <c r="A3" s="10" t="s">
        <v>6</v>
      </c>
      <c r="B3" s="11" t="s">
        <v>9</v>
      </c>
      <c r="C3" s="11">
        <v>1</v>
      </c>
      <c r="D3" s="12" t="s">
        <v>10</v>
      </c>
      <c r="E3" s="114">
        <f>12258.44+300+860</f>
        <v>13418.44</v>
      </c>
      <c r="F3" s="115"/>
      <c r="G3" s="114">
        <f>12258.44+860+256</f>
        <v>13374.44</v>
      </c>
      <c r="H3" s="115"/>
      <c r="I3" s="114">
        <f>12258.44+860+244</f>
        <v>13362.44</v>
      </c>
      <c r="J3" s="115"/>
      <c r="K3" s="190">
        <f>12258.44+843+244+50</f>
        <v>13395.44</v>
      </c>
      <c r="L3" s="115"/>
    </row>
    <row r="4" spans="1:12" ht="12.75">
      <c r="A4" s="13"/>
      <c r="B4" s="14"/>
      <c r="C4" s="14">
        <f aca="true" t="shared" si="0" ref="C4:C11">+C3+1</f>
        <v>2</v>
      </c>
      <c r="D4" s="15" t="s">
        <v>11</v>
      </c>
      <c r="E4" s="16">
        <f>880.44+500</f>
        <v>1380.44</v>
      </c>
      <c r="F4" s="116"/>
      <c r="G4" s="16">
        <f>880.44+500</f>
        <v>1380.44</v>
      </c>
      <c r="H4" s="116"/>
      <c r="I4" s="16">
        <f>880.44+500</f>
        <v>1380.44</v>
      </c>
      <c r="J4" s="116"/>
      <c r="K4" s="177">
        <f>880.44+416+15</f>
        <v>1311.44</v>
      </c>
      <c r="L4" s="116"/>
    </row>
    <row r="5" spans="1:12" ht="12.75">
      <c r="A5" s="13"/>
      <c r="B5" s="14"/>
      <c r="C5" s="14">
        <f t="shared" si="0"/>
        <v>3</v>
      </c>
      <c r="D5" s="15" t="s">
        <v>12</v>
      </c>
      <c r="E5" s="16">
        <f>6719+8552</f>
        <v>15271</v>
      </c>
      <c r="F5" s="117"/>
      <c r="G5" s="16">
        <f>6719+8552</f>
        <v>15271</v>
      </c>
      <c r="H5" s="117"/>
      <c r="I5" s="16">
        <f>12373+8552</f>
        <v>20925</v>
      </c>
      <c r="J5" s="117"/>
      <c r="K5" s="177">
        <f>6700+17657</f>
        <v>24357</v>
      </c>
      <c r="L5" s="117"/>
    </row>
    <row r="6" spans="1:12" ht="12.75">
      <c r="A6" s="17"/>
      <c r="B6" s="18"/>
      <c r="C6" s="14">
        <f t="shared" si="0"/>
        <v>4</v>
      </c>
      <c r="D6" s="19" t="s">
        <v>82</v>
      </c>
      <c r="E6" s="16">
        <v>200</v>
      </c>
      <c r="F6" s="117"/>
      <c r="G6" s="16">
        <v>0</v>
      </c>
      <c r="H6" s="117"/>
      <c r="I6" s="16">
        <v>0</v>
      </c>
      <c r="J6" s="117"/>
      <c r="K6" s="16">
        <v>0</v>
      </c>
      <c r="L6" s="117"/>
    </row>
    <row r="7" spans="1:12" ht="12.75">
      <c r="A7" s="17"/>
      <c r="B7" s="18"/>
      <c r="C7" s="14">
        <f t="shared" si="0"/>
        <v>5</v>
      </c>
      <c r="D7" s="19" t="s">
        <v>61</v>
      </c>
      <c r="E7" s="16"/>
      <c r="F7" s="117"/>
      <c r="G7" s="16">
        <v>350</v>
      </c>
      <c r="H7" s="117"/>
      <c r="I7" s="16">
        <v>350</v>
      </c>
      <c r="J7" s="117"/>
      <c r="K7" s="16">
        <v>350</v>
      </c>
      <c r="L7" s="117"/>
    </row>
    <row r="8" spans="1:12" ht="12.75">
      <c r="A8" s="17"/>
      <c r="B8" s="18"/>
      <c r="C8" s="14">
        <f t="shared" si="0"/>
        <v>6</v>
      </c>
      <c r="D8" s="19" t="s">
        <v>104</v>
      </c>
      <c r="E8" s="16">
        <v>647</v>
      </c>
      <c r="F8" s="117"/>
      <c r="G8" s="16">
        <v>647</v>
      </c>
      <c r="H8" s="117"/>
      <c r="I8" s="16">
        <v>646</v>
      </c>
      <c r="J8" s="117"/>
      <c r="K8" s="16">
        <v>646</v>
      </c>
      <c r="L8" s="117"/>
    </row>
    <row r="9" spans="1:12" ht="12.75">
      <c r="A9" s="17"/>
      <c r="B9" s="18"/>
      <c r="C9" s="14">
        <f t="shared" si="0"/>
        <v>7</v>
      </c>
      <c r="D9" s="19" t="s">
        <v>126</v>
      </c>
      <c r="E9" s="16"/>
      <c r="F9" s="117"/>
      <c r="G9" s="16"/>
      <c r="H9" s="117"/>
      <c r="I9" s="16"/>
      <c r="J9" s="117"/>
      <c r="K9" s="177">
        <v>1459</v>
      </c>
      <c r="L9" s="117"/>
    </row>
    <row r="10" spans="1:12" ht="12.75">
      <c r="A10" s="17"/>
      <c r="B10" s="18"/>
      <c r="C10" s="14">
        <f t="shared" si="0"/>
        <v>8</v>
      </c>
      <c r="D10" s="19" t="s">
        <v>129</v>
      </c>
      <c r="E10" s="16"/>
      <c r="F10" s="117"/>
      <c r="G10" s="16"/>
      <c r="H10" s="117"/>
      <c r="I10" s="16"/>
      <c r="J10" s="117"/>
      <c r="K10" s="177">
        <v>700</v>
      </c>
      <c r="L10" s="117"/>
    </row>
    <row r="11" spans="1:12" ht="12.75">
      <c r="A11" s="17"/>
      <c r="B11" s="18"/>
      <c r="C11" s="14">
        <f t="shared" si="0"/>
        <v>9</v>
      </c>
      <c r="D11" s="19" t="s">
        <v>118</v>
      </c>
      <c r="E11" s="20"/>
      <c r="F11" s="117"/>
      <c r="G11" s="20">
        <v>103</v>
      </c>
      <c r="H11" s="117"/>
      <c r="I11" s="20">
        <f>106+4+125+20+100</f>
        <v>355</v>
      </c>
      <c r="J11" s="117"/>
      <c r="K11" s="184">
        <f>114+34+190+20+100+24+11+65</f>
        <v>558</v>
      </c>
      <c r="L11" s="117"/>
    </row>
    <row r="12" spans="1:12" ht="13.5" thickBot="1">
      <c r="A12" s="21"/>
      <c r="B12" s="22"/>
      <c r="C12" s="22"/>
      <c r="D12" s="23" t="s">
        <v>5</v>
      </c>
      <c r="E12" s="24"/>
      <c r="F12" s="118">
        <f>SUM(E3:E11)</f>
        <v>30916.88</v>
      </c>
      <c r="G12" s="24"/>
      <c r="H12" s="118">
        <f>SUM(G3:G11)</f>
        <v>31125.88</v>
      </c>
      <c r="I12" s="24"/>
      <c r="J12" s="118">
        <f>SUM(I3:I11)</f>
        <v>37018.880000000005</v>
      </c>
      <c r="K12" s="24"/>
      <c r="L12" s="118">
        <f>SUM(K3:K11)</f>
        <v>42776.880000000005</v>
      </c>
    </row>
    <row r="13" spans="1:12" ht="12.75">
      <c r="A13" s="25" t="s">
        <v>8</v>
      </c>
      <c r="B13" s="26" t="s">
        <v>14</v>
      </c>
      <c r="C13" s="26">
        <v>1</v>
      </c>
      <c r="D13" s="27" t="s">
        <v>15</v>
      </c>
      <c r="E13" s="28">
        <v>1610</v>
      </c>
      <c r="F13" s="119"/>
      <c r="G13" s="28">
        <v>1610</v>
      </c>
      <c r="H13" s="119"/>
      <c r="I13" s="28">
        <v>1610</v>
      </c>
      <c r="J13" s="119"/>
      <c r="K13" s="186">
        <v>1500</v>
      </c>
      <c r="L13" s="119"/>
    </row>
    <row r="14" spans="1:12" ht="12.75">
      <c r="A14" s="13"/>
      <c r="B14" s="14"/>
      <c r="C14" s="14">
        <v>2</v>
      </c>
      <c r="D14" s="15" t="s">
        <v>16</v>
      </c>
      <c r="E14" s="16">
        <v>27200</v>
      </c>
      <c r="F14" s="117"/>
      <c r="G14" s="16">
        <v>27200</v>
      </c>
      <c r="H14" s="117"/>
      <c r="I14" s="16">
        <v>27200</v>
      </c>
      <c r="J14" s="117"/>
      <c r="K14" s="177">
        <v>28350</v>
      </c>
      <c r="L14" s="117"/>
    </row>
    <row r="15" spans="1:12" ht="12.75">
      <c r="A15" s="13"/>
      <c r="B15" s="14"/>
      <c r="C15" s="14">
        <v>3</v>
      </c>
      <c r="D15" s="15" t="s">
        <v>17</v>
      </c>
      <c r="E15" s="20">
        <v>2000</v>
      </c>
      <c r="F15" s="117"/>
      <c r="G15" s="20">
        <v>1948</v>
      </c>
      <c r="H15" s="117"/>
      <c r="I15" s="20">
        <v>1948</v>
      </c>
      <c r="J15" s="117"/>
      <c r="K15" s="20">
        <v>1948</v>
      </c>
      <c r="L15" s="117"/>
    </row>
    <row r="16" spans="1:12" ht="13.5" thickBot="1">
      <c r="A16" s="21"/>
      <c r="B16" s="22"/>
      <c r="C16" s="22"/>
      <c r="D16" s="23" t="s">
        <v>18</v>
      </c>
      <c r="E16" s="24"/>
      <c r="F16" s="118">
        <f>SUM(E13:E15)</f>
        <v>30810</v>
      </c>
      <c r="G16" s="24"/>
      <c r="H16" s="118">
        <f>SUM(G13:G15)</f>
        <v>30758</v>
      </c>
      <c r="I16" s="24"/>
      <c r="J16" s="118">
        <f>SUM(I13:I15)</f>
        <v>30758</v>
      </c>
      <c r="K16" s="24"/>
      <c r="L16" s="118">
        <f>SUM(K13:K15)</f>
        <v>31798</v>
      </c>
    </row>
    <row r="17" spans="1:12" ht="12.75">
      <c r="A17" s="13" t="s">
        <v>13</v>
      </c>
      <c r="B17" s="26" t="s">
        <v>20</v>
      </c>
      <c r="C17" s="14">
        <v>1</v>
      </c>
      <c r="D17" s="15" t="s">
        <v>21</v>
      </c>
      <c r="E17" s="20">
        <v>143</v>
      </c>
      <c r="F17" s="117"/>
      <c r="G17" s="20">
        <v>143</v>
      </c>
      <c r="H17" s="117"/>
      <c r="I17" s="20">
        <v>138</v>
      </c>
      <c r="J17" s="117"/>
      <c r="K17" s="184">
        <v>128</v>
      </c>
      <c r="L17" s="117"/>
    </row>
    <row r="18" spans="1:12" ht="12.75">
      <c r="A18" s="13"/>
      <c r="B18" s="14"/>
      <c r="C18" s="14">
        <f aca="true" t="shared" si="1" ref="C18:C25">+C17+1</f>
        <v>2</v>
      </c>
      <c r="D18" s="15" t="s">
        <v>106</v>
      </c>
      <c r="E18" s="20">
        <v>1815</v>
      </c>
      <c r="F18" s="117"/>
      <c r="G18" s="20">
        <v>1815</v>
      </c>
      <c r="H18" s="117"/>
      <c r="I18" s="20">
        <v>1865</v>
      </c>
      <c r="J18" s="117"/>
      <c r="K18" s="184">
        <v>2020</v>
      </c>
      <c r="L18" s="117"/>
    </row>
    <row r="19" spans="1:12" ht="12.75">
      <c r="A19" s="13"/>
      <c r="B19" s="14"/>
      <c r="C19" s="14">
        <f t="shared" si="1"/>
        <v>3</v>
      </c>
      <c r="D19" s="15" t="s">
        <v>22</v>
      </c>
      <c r="E19" s="20">
        <v>700</v>
      </c>
      <c r="F19" s="117"/>
      <c r="G19" s="20">
        <v>700</v>
      </c>
      <c r="H19" s="117"/>
      <c r="I19" s="20">
        <v>710</v>
      </c>
      <c r="J19" s="117"/>
      <c r="K19" s="184">
        <f>400+135+345</f>
        <v>880</v>
      </c>
      <c r="L19" s="117"/>
    </row>
    <row r="20" spans="1:12" ht="12.75">
      <c r="A20" s="13"/>
      <c r="B20" s="14"/>
      <c r="C20" s="14">
        <f t="shared" si="1"/>
        <v>4</v>
      </c>
      <c r="D20" s="15" t="s">
        <v>23</v>
      </c>
      <c r="E20" s="20">
        <v>80</v>
      </c>
      <c r="F20" s="117"/>
      <c r="G20" s="20">
        <v>80</v>
      </c>
      <c r="H20" s="117"/>
      <c r="I20" s="20">
        <v>90</v>
      </c>
      <c r="J20" s="117"/>
      <c r="K20" s="184">
        <v>100</v>
      </c>
      <c r="L20" s="117"/>
    </row>
    <row r="21" spans="1:12" ht="12.75">
      <c r="A21" s="13"/>
      <c r="B21" s="14"/>
      <c r="C21" s="14">
        <f t="shared" si="1"/>
        <v>5</v>
      </c>
      <c r="D21" s="15" t="s">
        <v>24</v>
      </c>
      <c r="E21" s="20">
        <v>246</v>
      </c>
      <c r="F21" s="117"/>
      <c r="G21" s="20">
        <v>300</v>
      </c>
      <c r="H21" s="117"/>
      <c r="I21" s="20">
        <v>300</v>
      </c>
      <c r="J21" s="117"/>
      <c r="K21" s="184">
        <v>315</v>
      </c>
      <c r="L21" s="117"/>
    </row>
    <row r="22" spans="1:12" ht="12.75">
      <c r="A22" s="13"/>
      <c r="B22" s="14" t="s">
        <v>25</v>
      </c>
      <c r="C22" s="14">
        <f t="shared" si="1"/>
        <v>6</v>
      </c>
      <c r="D22" s="15" t="s">
        <v>26</v>
      </c>
      <c r="E22" s="20">
        <v>106</v>
      </c>
      <c r="F22" s="117"/>
      <c r="G22" s="20">
        <v>106</v>
      </c>
      <c r="H22" s="117"/>
      <c r="I22" s="20">
        <v>107</v>
      </c>
      <c r="J22" s="117"/>
      <c r="K22" s="20">
        <v>107</v>
      </c>
      <c r="L22" s="117"/>
    </row>
    <row r="23" spans="1:12" ht="12.75">
      <c r="A23" s="13"/>
      <c r="B23" s="14"/>
      <c r="C23" s="14">
        <f t="shared" si="1"/>
        <v>7</v>
      </c>
      <c r="D23" s="15" t="s">
        <v>27</v>
      </c>
      <c r="E23" s="20">
        <v>195</v>
      </c>
      <c r="F23" s="117"/>
      <c r="G23" s="20">
        <v>195</v>
      </c>
      <c r="H23" s="117"/>
      <c r="I23" s="20">
        <v>195</v>
      </c>
      <c r="J23" s="117"/>
      <c r="K23" s="184">
        <v>215</v>
      </c>
      <c r="L23" s="117"/>
    </row>
    <row r="24" spans="1:12" ht="12.75">
      <c r="A24" s="13"/>
      <c r="B24" s="14"/>
      <c r="C24" s="14">
        <f t="shared" si="1"/>
        <v>8</v>
      </c>
      <c r="D24" s="15" t="s">
        <v>109</v>
      </c>
      <c r="E24" s="20">
        <v>50</v>
      </c>
      <c r="F24" s="117"/>
      <c r="G24" s="20">
        <f>70+15</f>
        <v>85</v>
      </c>
      <c r="H24" s="117"/>
      <c r="I24" s="20">
        <f>90+25</f>
        <v>115</v>
      </c>
      <c r="J24" s="117"/>
      <c r="K24" s="184">
        <f>50+20</f>
        <v>70</v>
      </c>
      <c r="L24" s="117"/>
    </row>
    <row r="25" spans="1:12" ht="12.75">
      <c r="A25" s="17"/>
      <c r="B25" s="18"/>
      <c r="C25" s="14">
        <f t="shared" si="1"/>
        <v>9</v>
      </c>
      <c r="D25" s="19" t="s">
        <v>28</v>
      </c>
      <c r="E25" s="29">
        <v>2075</v>
      </c>
      <c r="F25" s="120"/>
      <c r="G25" s="29">
        <v>2075</v>
      </c>
      <c r="H25" s="120"/>
      <c r="I25" s="29">
        <v>2075</v>
      </c>
      <c r="J25" s="120"/>
      <c r="K25" s="158">
        <v>2070</v>
      </c>
      <c r="L25" s="120"/>
    </row>
    <row r="26" spans="1:12" ht="13.5" thickBot="1">
      <c r="A26" s="21"/>
      <c r="B26" s="22"/>
      <c r="C26" s="22"/>
      <c r="D26" s="23" t="s">
        <v>18</v>
      </c>
      <c r="E26" s="24"/>
      <c r="F26" s="121">
        <f>SUM(E17:E25)</f>
        <v>5410</v>
      </c>
      <c r="G26" s="24"/>
      <c r="H26" s="121">
        <f>SUM(G17:G25)</f>
        <v>5499</v>
      </c>
      <c r="I26" s="24"/>
      <c r="J26" s="121">
        <f>SUM(I17:I25)</f>
        <v>5595</v>
      </c>
      <c r="K26" s="24"/>
      <c r="L26" s="121">
        <f>SUM(K17:K25)</f>
        <v>5905</v>
      </c>
    </row>
    <row r="27" spans="1:12" ht="12.75">
      <c r="A27" s="10" t="s">
        <v>19</v>
      </c>
      <c r="B27" s="11" t="s">
        <v>30</v>
      </c>
      <c r="C27" s="11">
        <v>1</v>
      </c>
      <c r="D27" s="12" t="s">
        <v>105</v>
      </c>
      <c r="E27" s="30">
        <v>3500</v>
      </c>
      <c r="F27" s="115"/>
      <c r="G27" s="30">
        <v>3500</v>
      </c>
      <c r="H27" s="115"/>
      <c r="I27" s="30">
        <v>3500</v>
      </c>
      <c r="J27" s="115"/>
      <c r="K27" s="86">
        <f>701+491+101+1450+1500</f>
        <v>4243</v>
      </c>
      <c r="L27" s="115"/>
    </row>
    <row r="28" spans="1:12" ht="12.75">
      <c r="A28" s="17"/>
      <c r="B28" s="18"/>
      <c r="C28" s="26">
        <v>2</v>
      </c>
      <c r="D28" s="19" t="s">
        <v>98</v>
      </c>
      <c r="E28" s="29">
        <v>370</v>
      </c>
      <c r="F28" s="120"/>
      <c r="G28" s="29">
        <v>370</v>
      </c>
      <c r="H28" s="120"/>
      <c r="I28" s="29">
        <v>390</v>
      </c>
      <c r="J28" s="120"/>
      <c r="K28" s="29">
        <v>390</v>
      </c>
      <c r="L28" s="120"/>
    </row>
    <row r="29" spans="1:12" ht="12.75">
      <c r="A29" s="17"/>
      <c r="B29" s="18"/>
      <c r="C29" s="26">
        <v>3</v>
      </c>
      <c r="D29" s="19" t="s">
        <v>113</v>
      </c>
      <c r="E29" s="29">
        <v>1650</v>
      </c>
      <c r="F29" s="120"/>
      <c r="G29" s="29">
        <v>1595</v>
      </c>
      <c r="H29" s="120"/>
      <c r="I29" s="29">
        <v>1595</v>
      </c>
      <c r="J29" s="120"/>
      <c r="K29" s="29">
        <v>1595</v>
      </c>
      <c r="L29" s="120"/>
    </row>
    <row r="30" spans="1:12" ht="12.75">
      <c r="A30" s="17"/>
      <c r="B30" s="18"/>
      <c r="C30" s="26">
        <v>4</v>
      </c>
      <c r="D30" s="19" t="s">
        <v>114</v>
      </c>
      <c r="E30" s="29"/>
      <c r="F30" s="120"/>
      <c r="G30" s="29">
        <v>100</v>
      </c>
      <c r="H30" s="120"/>
      <c r="I30" s="29">
        <v>305</v>
      </c>
      <c r="J30" s="120"/>
      <c r="K30" s="158">
        <v>397</v>
      </c>
      <c r="L30" s="120"/>
    </row>
    <row r="31" spans="1:12" ht="12.75">
      <c r="A31" s="17"/>
      <c r="B31" s="18"/>
      <c r="C31" s="26">
        <v>5</v>
      </c>
      <c r="D31" s="19" t="s">
        <v>115</v>
      </c>
      <c r="E31" s="29"/>
      <c r="F31" s="120"/>
      <c r="G31" s="29">
        <v>90</v>
      </c>
      <c r="H31" s="120"/>
      <c r="I31" s="29">
        <v>90</v>
      </c>
      <c r="J31" s="120"/>
      <c r="K31" s="29">
        <v>90</v>
      </c>
      <c r="L31" s="120"/>
    </row>
    <row r="32" spans="1:12" ht="13.5" thickBot="1">
      <c r="A32" s="21"/>
      <c r="B32" s="22"/>
      <c r="C32" s="22"/>
      <c r="D32" s="23" t="s">
        <v>18</v>
      </c>
      <c r="E32" s="24"/>
      <c r="F32" s="121">
        <f>SUM(E27:E31)</f>
        <v>5520</v>
      </c>
      <c r="G32" s="24"/>
      <c r="H32" s="121">
        <f>SUM(G27:G31)</f>
        <v>5655</v>
      </c>
      <c r="I32" s="24"/>
      <c r="J32" s="121">
        <f>SUM(I27:I31)</f>
        <v>5880</v>
      </c>
      <c r="K32" s="24"/>
      <c r="L32" s="121">
        <f>SUM(K27:K31)</f>
        <v>6715</v>
      </c>
    </row>
    <row r="33" spans="1:12" ht="12.75">
      <c r="A33" s="10" t="s">
        <v>29</v>
      </c>
      <c r="B33" s="31" t="s">
        <v>32</v>
      </c>
      <c r="C33" s="31">
        <v>1</v>
      </c>
      <c r="D33" s="12" t="s">
        <v>33</v>
      </c>
      <c r="E33" s="30">
        <v>121</v>
      </c>
      <c r="F33" s="115"/>
      <c r="G33" s="30">
        <v>121</v>
      </c>
      <c r="H33" s="115"/>
      <c r="I33" s="30">
        <v>121</v>
      </c>
      <c r="J33" s="115"/>
      <c r="K33" s="30">
        <v>121</v>
      </c>
      <c r="L33" s="115"/>
    </row>
    <row r="34" spans="1:12" ht="12.75">
      <c r="A34" s="25"/>
      <c r="B34" s="32"/>
      <c r="C34" s="32">
        <v>2</v>
      </c>
      <c r="D34" s="27" t="s">
        <v>34</v>
      </c>
      <c r="E34" s="28">
        <v>260</v>
      </c>
      <c r="F34" s="119"/>
      <c r="G34" s="28">
        <v>260</v>
      </c>
      <c r="H34" s="119"/>
      <c r="I34" s="28">
        <v>270</v>
      </c>
      <c r="J34" s="119"/>
      <c r="K34" s="186">
        <v>272</v>
      </c>
      <c r="L34" s="119"/>
    </row>
    <row r="35" spans="1:12" ht="12.75">
      <c r="A35" s="13"/>
      <c r="B35" s="33"/>
      <c r="C35" s="33">
        <v>3</v>
      </c>
      <c r="D35" s="15" t="s">
        <v>35</v>
      </c>
      <c r="E35" s="20">
        <v>372</v>
      </c>
      <c r="F35" s="117"/>
      <c r="G35" s="20">
        <v>372</v>
      </c>
      <c r="H35" s="117"/>
      <c r="I35" s="20">
        <v>372</v>
      </c>
      <c r="J35" s="117"/>
      <c r="K35" s="20">
        <v>372</v>
      </c>
      <c r="L35" s="117"/>
    </row>
    <row r="36" spans="1:12" ht="13.5" thickBot="1">
      <c r="A36" s="21"/>
      <c r="B36" s="34"/>
      <c r="C36" s="34"/>
      <c r="D36" s="23" t="s">
        <v>18</v>
      </c>
      <c r="E36" s="24"/>
      <c r="F36" s="121">
        <f>SUM(E33:E35)</f>
        <v>753</v>
      </c>
      <c r="G36" s="24"/>
      <c r="H36" s="121">
        <f>SUM(G33:G35)</f>
        <v>753</v>
      </c>
      <c r="I36" s="24"/>
      <c r="J36" s="121">
        <f>SUM(I33:I35)</f>
        <v>763</v>
      </c>
      <c r="K36" s="24"/>
      <c r="L36" s="121">
        <f>SUM(K33:K35)</f>
        <v>765</v>
      </c>
    </row>
    <row r="37" spans="1:12" ht="13.5" thickBot="1">
      <c r="A37" s="7" t="s">
        <v>31</v>
      </c>
      <c r="B37" s="35" t="s">
        <v>37</v>
      </c>
      <c r="C37" s="35"/>
      <c r="D37" s="8"/>
      <c r="E37" s="9">
        <v>1650</v>
      </c>
      <c r="F37" s="122">
        <f>SUM(E37)</f>
        <v>1650</v>
      </c>
      <c r="G37" s="9">
        <v>1650</v>
      </c>
      <c r="H37" s="122">
        <f>SUM(G37)</f>
        <v>1650</v>
      </c>
      <c r="I37" s="9">
        <v>1650</v>
      </c>
      <c r="J37" s="122">
        <f>SUM(I37)</f>
        <v>1650</v>
      </c>
      <c r="K37" s="188">
        <v>2500</v>
      </c>
      <c r="L37" s="122">
        <f>SUM(K37)</f>
        <v>2500</v>
      </c>
    </row>
    <row r="38" spans="1:12" ht="13.5" thickBot="1">
      <c r="A38" s="36" t="s">
        <v>36</v>
      </c>
      <c r="B38" s="37" t="s">
        <v>96</v>
      </c>
      <c r="C38" s="37"/>
      <c r="D38" s="38"/>
      <c r="E38" s="39">
        <v>500</v>
      </c>
      <c r="F38" s="122">
        <f>SUM(E38)</f>
        <v>500</v>
      </c>
      <c r="G38" s="39">
        <v>500</v>
      </c>
      <c r="H38" s="122">
        <f>SUM(G38)</f>
        <v>500</v>
      </c>
      <c r="I38" s="39">
        <v>500</v>
      </c>
      <c r="J38" s="122">
        <f>SUM(I38)</f>
        <v>500</v>
      </c>
      <c r="K38" s="39">
        <v>500</v>
      </c>
      <c r="L38" s="122">
        <f>SUM(K38)</f>
        <v>500</v>
      </c>
    </row>
    <row r="39" spans="1:12" ht="12.75">
      <c r="A39" s="10" t="s">
        <v>38</v>
      </c>
      <c r="B39" s="31" t="s">
        <v>40</v>
      </c>
      <c r="C39" s="31">
        <v>1</v>
      </c>
      <c r="D39" s="12" t="s">
        <v>41</v>
      </c>
      <c r="E39" s="30">
        <v>25</v>
      </c>
      <c r="F39" s="115"/>
      <c r="G39" s="30">
        <v>25</v>
      </c>
      <c r="H39" s="115"/>
      <c r="I39" s="30">
        <f>25+10</f>
        <v>35</v>
      </c>
      <c r="J39" s="115"/>
      <c r="K39" s="86">
        <f>36+10</f>
        <v>46</v>
      </c>
      <c r="L39" s="115"/>
    </row>
    <row r="40" spans="1:12" ht="12.75">
      <c r="A40" s="25"/>
      <c r="B40" s="32"/>
      <c r="C40" s="32">
        <f aca="true" t="shared" si="2" ref="C40:C47">+C39+1</f>
        <v>2</v>
      </c>
      <c r="D40" s="27" t="s">
        <v>42</v>
      </c>
      <c r="E40" s="28">
        <v>470</v>
      </c>
      <c r="F40" s="119"/>
      <c r="G40" s="28">
        <v>515</v>
      </c>
      <c r="H40" s="119"/>
      <c r="I40" s="28">
        <v>515</v>
      </c>
      <c r="J40" s="119"/>
      <c r="K40" s="186">
        <f>435+93</f>
        <v>528</v>
      </c>
      <c r="L40" s="119"/>
    </row>
    <row r="41" spans="1:12" ht="12.75">
      <c r="A41" s="25"/>
      <c r="B41" s="32"/>
      <c r="C41" s="32">
        <f t="shared" si="2"/>
        <v>3</v>
      </c>
      <c r="D41" s="27" t="s">
        <v>43</v>
      </c>
      <c r="E41" s="28">
        <v>540</v>
      </c>
      <c r="F41" s="119"/>
      <c r="G41" s="28">
        <v>540</v>
      </c>
      <c r="H41" s="119"/>
      <c r="I41" s="28">
        <v>540</v>
      </c>
      <c r="J41" s="119"/>
      <c r="K41" s="28">
        <v>540</v>
      </c>
      <c r="L41" s="119"/>
    </row>
    <row r="42" spans="1:12" ht="12.75">
      <c r="A42" s="25"/>
      <c r="B42" s="32"/>
      <c r="C42" s="32">
        <f t="shared" si="2"/>
        <v>4</v>
      </c>
      <c r="D42" s="27" t="s">
        <v>44</v>
      </c>
      <c r="E42" s="28">
        <v>800</v>
      </c>
      <c r="F42" s="119"/>
      <c r="G42" s="28">
        <v>800</v>
      </c>
      <c r="H42" s="119"/>
      <c r="I42" s="28">
        <v>800</v>
      </c>
      <c r="J42" s="119"/>
      <c r="K42" s="186">
        <v>630</v>
      </c>
      <c r="L42" s="119"/>
    </row>
    <row r="43" spans="1:12" ht="12.75">
      <c r="A43" s="25"/>
      <c r="B43" s="32"/>
      <c r="C43" s="32">
        <f t="shared" si="2"/>
        <v>5</v>
      </c>
      <c r="D43" s="27" t="s">
        <v>45</v>
      </c>
      <c r="E43" s="28">
        <v>450</v>
      </c>
      <c r="F43" s="119"/>
      <c r="G43" s="28">
        <v>450</v>
      </c>
      <c r="H43" s="119"/>
      <c r="I43" s="28">
        <f>450+120</f>
        <v>570</v>
      </c>
      <c r="J43" s="119"/>
      <c r="K43" s="186">
        <v>510</v>
      </c>
      <c r="L43" s="119"/>
    </row>
    <row r="44" spans="1:12" ht="12.75">
      <c r="A44" s="25"/>
      <c r="B44" s="32"/>
      <c r="C44" s="32">
        <f t="shared" si="2"/>
        <v>6</v>
      </c>
      <c r="D44" s="27" t="s">
        <v>123</v>
      </c>
      <c r="E44" s="28"/>
      <c r="F44" s="119"/>
      <c r="G44" s="28"/>
      <c r="H44" s="119"/>
      <c r="I44" s="28">
        <v>200</v>
      </c>
      <c r="J44" s="119"/>
      <c r="K44" s="28">
        <v>200</v>
      </c>
      <c r="L44" s="119"/>
    </row>
    <row r="45" spans="1:12" ht="12.75">
      <c r="A45" s="25"/>
      <c r="B45" s="32"/>
      <c r="C45" s="32">
        <f t="shared" si="2"/>
        <v>7</v>
      </c>
      <c r="D45" s="27" t="s">
        <v>130</v>
      </c>
      <c r="E45" s="28"/>
      <c r="F45" s="119"/>
      <c r="G45" s="28"/>
      <c r="H45" s="119"/>
      <c r="I45" s="28"/>
      <c r="J45" s="119"/>
      <c r="K45" s="186">
        <v>270</v>
      </c>
      <c r="L45" s="119"/>
    </row>
    <row r="46" spans="1:12" ht="12.75">
      <c r="A46" s="25"/>
      <c r="B46" s="32"/>
      <c r="C46" s="32">
        <f t="shared" si="2"/>
        <v>8</v>
      </c>
      <c r="D46" s="27" t="s">
        <v>131</v>
      </c>
      <c r="E46" s="28"/>
      <c r="F46" s="119"/>
      <c r="G46" s="28"/>
      <c r="H46" s="119"/>
      <c r="I46" s="28"/>
      <c r="J46" s="119"/>
      <c r="K46" s="186">
        <v>166</v>
      </c>
      <c r="L46" s="119"/>
    </row>
    <row r="47" spans="1:12" ht="12.75">
      <c r="A47" s="13"/>
      <c r="B47" s="33"/>
      <c r="C47" s="32">
        <f t="shared" si="2"/>
        <v>9</v>
      </c>
      <c r="D47" s="15" t="s">
        <v>46</v>
      </c>
      <c r="E47" s="20">
        <v>550</v>
      </c>
      <c r="F47" s="117"/>
      <c r="G47" s="20">
        <v>550</v>
      </c>
      <c r="H47" s="117"/>
      <c r="I47" s="20">
        <v>650</v>
      </c>
      <c r="J47" s="117"/>
      <c r="K47" s="184">
        <v>745</v>
      </c>
      <c r="L47" s="117"/>
    </row>
    <row r="48" spans="1:12" ht="13.5" thickBot="1">
      <c r="A48" s="21"/>
      <c r="B48" s="34"/>
      <c r="C48" s="34"/>
      <c r="D48" s="23" t="s">
        <v>18</v>
      </c>
      <c r="E48" s="24"/>
      <c r="F48" s="121">
        <f>SUM(E39:E47)</f>
        <v>2835</v>
      </c>
      <c r="G48" s="24"/>
      <c r="H48" s="121">
        <f>SUM(G39:G47)</f>
        <v>2880</v>
      </c>
      <c r="I48" s="24"/>
      <c r="J48" s="121">
        <f>SUM(I39:I47)</f>
        <v>3310</v>
      </c>
      <c r="K48" s="24"/>
      <c r="L48" s="121">
        <f>SUM(K39:K47)</f>
        <v>3635</v>
      </c>
    </row>
    <row r="49" spans="1:12" ht="13.5" thickBot="1">
      <c r="A49" s="40" t="s">
        <v>39</v>
      </c>
      <c r="B49" s="35" t="s">
        <v>110</v>
      </c>
      <c r="C49" s="35"/>
      <c r="D49" s="8"/>
      <c r="E49" s="123">
        <v>541</v>
      </c>
      <c r="F49" s="122">
        <f>SUM(E49)</f>
        <v>541</v>
      </c>
      <c r="G49" s="123">
        <v>541</v>
      </c>
      <c r="H49" s="122">
        <f>SUM(G49)</f>
        <v>541</v>
      </c>
      <c r="I49" s="123">
        <v>541</v>
      </c>
      <c r="J49" s="122">
        <f>SUM(I49)</f>
        <v>541</v>
      </c>
      <c r="K49" s="196">
        <f>553+1</f>
        <v>554</v>
      </c>
      <c r="L49" s="122">
        <f>SUM(K49)</f>
        <v>554</v>
      </c>
    </row>
    <row r="50" spans="1:12" ht="12.75">
      <c r="A50" s="41"/>
      <c r="B50" s="31" t="s">
        <v>47</v>
      </c>
      <c r="C50" s="31"/>
      <c r="D50" s="12"/>
      <c r="E50" s="30"/>
      <c r="F50" s="73">
        <f>SUM(F3:F49)</f>
        <v>78935.88</v>
      </c>
      <c r="G50" s="30"/>
      <c r="H50" s="73">
        <f>SUM(H3:H49)</f>
        <v>79361.88</v>
      </c>
      <c r="I50" s="30"/>
      <c r="J50" s="73">
        <f>SUM(J3:J49)</f>
        <v>86015.88</v>
      </c>
      <c r="K50" s="86"/>
      <c r="L50" s="87">
        <f>SUM(L3:L49)</f>
        <v>95148.88</v>
      </c>
    </row>
    <row r="51" spans="1:12" ht="13.5" thickBot="1">
      <c r="A51" s="42"/>
      <c r="B51" s="34" t="s">
        <v>48</v>
      </c>
      <c r="C51" s="34"/>
      <c r="D51" s="23"/>
      <c r="E51" s="24"/>
      <c r="F51" s="101">
        <f>+F50-540</f>
        <v>78395.88</v>
      </c>
      <c r="G51" s="24"/>
      <c r="H51" s="101">
        <f>+H50-540-11</f>
        <v>78810.88</v>
      </c>
      <c r="I51" s="24"/>
      <c r="J51" s="101">
        <f>+J50-540-11</f>
        <v>85464.88</v>
      </c>
      <c r="K51" s="24"/>
      <c r="L51" s="76">
        <f>+L50-553-11</f>
        <v>94584.88</v>
      </c>
    </row>
    <row r="52" spans="1:12" ht="18" thickBot="1">
      <c r="A52" s="1" t="s">
        <v>49</v>
      </c>
      <c r="B52" s="43"/>
      <c r="C52" s="43"/>
      <c r="D52" s="43"/>
      <c r="E52" s="283" t="s">
        <v>117</v>
      </c>
      <c r="F52" s="284"/>
      <c r="G52" s="283" t="s">
        <v>116</v>
      </c>
      <c r="H52" s="284"/>
      <c r="I52" s="283" t="s">
        <v>124</v>
      </c>
      <c r="J52" s="284"/>
      <c r="K52" s="279" t="s">
        <v>125</v>
      </c>
      <c r="L52" s="280"/>
    </row>
    <row r="53" spans="1:12" ht="13.5" thickBot="1">
      <c r="A53" s="44" t="s">
        <v>1</v>
      </c>
      <c r="B53" s="45" t="s">
        <v>2</v>
      </c>
      <c r="C53" s="45" t="s">
        <v>3</v>
      </c>
      <c r="D53" s="46" t="s">
        <v>4</v>
      </c>
      <c r="E53" s="63"/>
      <c r="F53" s="62"/>
      <c r="G53" s="63"/>
      <c r="H53" s="62" t="s">
        <v>5</v>
      </c>
      <c r="I53" s="63"/>
      <c r="J53" s="62" t="s">
        <v>5</v>
      </c>
      <c r="K53" s="63"/>
      <c r="L53" s="112" t="s">
        <v>5</v>
      </c>
    </row>
    <row r="54" spans="1:12" ht="12.75">
      <c r="A54" s="10" t="s">
        <v>6</v>
      </c>
      <c r="B54" s="31" t="s">
        <v>7</v>
      </c>
      <c r="C54" s="31">
        <v>1</v>
      </c>
      <c r="D54" s="12" t="s">
        <v>99</v>
      </c>
      <c r="E54" s="103">
        <f>2450+30+40-500</f>
        <v>2020</v>
      </c>
      <c r="F54" s="64"/>
      <c r="G54" s="103">
        <f>2450+30+40-500</f>
        <v>2020</v>
      </c>
      <c r="H54" s="64"/>
      <c r="I54" s="103">
        <f>2020+50</f>
        <v>2070</v>
      </c>
      <c r="J54" s="64"/>
      <c r="K54" s="170">
        <f>2020+50</f>
        <v>2070</v>
      </c>
      <c r="L54" s="96"/>
    </row>
    <row r="55" spans="1:12" ht="12.75">
      <c r="A55" s="25"/>
      <c r="B55" s="32"/>
      <c r="C55" s="32">
        <v>2</v>
      </c>
      <c r="D55" s="27" t="s">
        <v>50</v>
      </c>
      <c r="E55" s="104">
        <v>285</v>
      </c>
      <c r="F55" s="65"/>
      <c r="G55" s="104">
        <v>285</v>
      </c>
      <c r="H55" s="65"/>
      <c r="I55" s="104">
        <v>285</v>
      </c>
      <c r="J55" s="65"/>
      <c r="K55" s="77">
        <v>285</v>
      </c>
      <c r="L55" s="97"/>
    </row>
    <row r="56" spans="1:12" ht="12.75">
      <c r="A56" s="13"/>
      <c r="B56" s="33"/>
      <c r="C56" s="32">
        <f>+C55+1</f>
        <v>3</v>
      </c>
      <c r="D56" s="15" t="s">
        <v>51</v>
      </c>
      <c r="E56" s="104">
        <v>595</v>
      </c>
      <c r="F56" s="65"/>
      <c r="G56" s="104">
        <v>595</v>
      </c>
      <c r="H56" s="65"/>
      <c r="I56" s="104">
        <v>595</v>
      </c>
      <c r="J56" s="65"/>
      <c r="K56" s="77">
        <v>595</v>
      </c>
      <c r="L56" s="97"/>
    </row>
    <row r="57" spans="1:12" ht="12.75">
      <c r="A57" s="13"/>
      <c r="B57" s="33"/>
      <c r="C57" s="32">
        <f>+C56+1</f>
        <v>4</v>
      </c>
      <c r="D57" s="15" t="s">
        <v>52</v>
      </c>
      <c r="E57" s="104">
        <v>345</v>
      </c>
      <c r="F57" s="65"/>
      <c r="G57" s="104">
        <v>345</v>
      </c>
      <c r="H57" s="65"/>
      <c r="I57" s="104">
        <v>345</v>
      </c>
      <c r="J57" s="65"/>
      <c r="K57" s="77">
        <v>345</v>
      </c>
      <c r="L57" s="97"/>
    </row>
    <row r="58" spans="1:12" ht="12.75">
      <c r="A58" s="13"/>
      <c r="B58" s="33"/>
      <c r="C58" s="32">
        <f>+C57+1</f>
        <v>5</v>
      </c>
      <c r="D58" s="15" t="s">
        <v>53</v>
      </c>
      <c r="E58" s="104">
        <v>315</v>
      </c>
      <c r="F58" s="65"/>
      <c r="G58" s="104">
        <v>315</v>
      </c>
      <c r="H58" s="65"/>
      <c r="I58" s="104">
        <f>315+20</f>
        <v>335</v>
      </c>
      <c r="J58" s="65"/>
      <c r="K58" s="77">
        <f>315+20</f>
        <v>335</v>
      </c>
      <c r="L58" s="97"/>
    </row>
    <row r="59" spans="1:12" ht="12.75">
      <c r="A59" s="13"/>
      <c r="B59" s="33"/>
      <c r="C59" s="32">
        <f>+C58+1</f>
        <v>6</v>
      </c>
      <c r="D59" s="15" t="s">
        <v>54</v>
      </c>
      <c r="E59" s="104">
        <v>948</v>
      </c>
      <c r="F59" s="65"/>
      <c r="G59" s="104">
        <v>948</v>
      </c>
      <c r="H59" s="65"/>
      <c r="I59" s="104">
        <v>998</v>
      </c>
      <c r="J59" s="65"/>
      <c r="K59" s="77">
        <v>998</v>
      </c>
      <c r="L59" s="97"/>
    </row>
    <row r="60" spans="1:12" ht="12.75">
      <c r="A60" s="17"/>
      <c r="B60" s="47"/>
      <c r="C60" s="32">
        <f>+C59+1</f>
        <v>7</v>
      </c>
      <c r="D60" s="19" t="s">
        <v>55</v>
      </c>
      <c r="E60" s="104">
        <v>157</v>
      </c>
      <c r="F60" s="65"/>
      <c r="G60" s="104">
        <v>157</v>
      </c>
      <c r="H60" s="65"/>
      <c r="I60" s="104">
        <v>157</v>
      </c>
      <c r="J60" s="65"/>
      <c r="K60" s="77">
        <v>157</v>
      </c>
      <c r="L60" s="97"/>
    </row>
    <row r="61" spans="1:12" ht="13.5" thickBot="1">
      <c r="A61" s="17"/>
      <c r="B61" s="47"/>
      <c r="C61" s="47"/>
      <c r="D61" s="19" t="s">
        <v>18</v>
      </c>
      <c r="E61" s="66"/>
      <c r="F61" s="67">
        <f>SUM(E54:E60)</f>
        <v>4665</v>
      </c>
      <c r="G61" s="66"/>
      <c r="H61" s="67">
        <f>SUM(G54:G60)</f>
        <v>4665</v>
      </c>
      <c r="I61" s="66"/>
      <c r="J61" s="67">
        <f>SUM(I54:I60)</f>
        <v>4785</v>
      </c>
      <c r="K61" s="78"/>
      <c r="L61" s="171">
        <f>SUM(K54:K60)</f>
        <v>4785</v>
      </c>
    </row>
    <row r="62" spans="1:12" ht="12.75">
      <c r="A62" s="10" t="s">
        <v>8</v>
      </c>
      <c r="B62" s="31" t="s">
        <v>56</v>
      </c>
      <c r="C62" s="31">
        <v>1</v>
      </c>
      <c r="D62" s="12" t="s">
        <v>57</v>
      </c>
      <c r="E62" s="124">
        <v>26085</v>
      </c>
      <c r="F62" s="125"/>
      <c r="G62" s="124">
        <v>26085</v>
      </c>
      <c r="H62" s="125"/>
      <c r="I62" s="124">
        <v>26085</v>
      </c>
      <c r="J62" s="125"/>
      <c r="K62" s="191">
        <f>26085+300</f>
        <v>26385</v>
      </c>
      <c r="L62" s="105"/>
    </row>
    <row r="63" spans="1:12" ht="12.75">
      <c r="A63" s="13"/>
      <c r="B63" s="33"/>
      <c r="C63" s="33">
        <v>2</v>
      </c>
      <c r="D63" s="15" t="s">
        <v>58</v>
      </c>
      <c r="E63" s="104">
        <f>620</f>
        <v>620</v>
      </c>
      <c r="F63" s="126"/>
      <c r="G63" s="104">
        <v>620</v>
      </c>
      <c r="H63" s="126"/>
      <c r="I63" s="104">
        <f>620+140</f>
        <v>760</v>
      </c>
      <c r="J63" s="126"/>
      <c r="K63" s="192">
        <f>620+139+126</f>
        <v>885</v>
      </c>
      <c r="L63" s="94"/>
    </row>
    <row r="64" spans="1:12" ht="13.5" thickBot="1">
      <c r="A64" s="21"/>
      <c r="B64" s="34"/>
      <c r="C64" s="34"/>
      <c r="D64" s="23" t="s">
        <v>5</v>
      </c>
      <c r="E64" s="127"/>
      <c r="F64" s="128">
        <f>SUM(E62:E63)</f>
        <v>26705</v>
      </c>
      <c r="G64" s="127"/>
      <c r="H64" s="128">
        <f>SUM(G62:G63)</f>
        <v>26705</v>
      </c>
      <c r="I64" s="127"/>
      <c r="J64" s="128">
        <f>SUM(I62:I63)</f>
        <v>26845</v>
      </c>
      <c r="K64" s="80"/>
      <c r="L64" s="95">
        <f>SUM(K62:K63)</f>
        <v>27270</v>
      </c>
    </row>
    <row r="65" spans="1:12" ht="12.75">
      <c r="A65" s="25" t="s">
        <v>13</v>
      </c>
      <c r="B65" s="32" t="s">
        <v>59</v>
      </c>
      <c r="C65" s="32">
        <v>1</v>
      </c>
      <c r="D65" s="27" t="s">
        <v>100</v>
      </c>
      <c r="E65" s="103">
        <f>670+300-285</f>
        <v>685</v>
      </c>
      <c r="F65" s="64"/>
      <c r="G65" s="103">
        <f>670+300-285</f>
        <v>685</v>
      </c>
      <c r="H65" s="64"/>
      <c r="I65" s="103">
        <f>685+250</f>
        <v>935</v>
      </c>
      <c r="J65" s="64"/>
      <c r="K65" s="170">
        <f>685+250</f>
        <v>935</v>
      </c>
      <c r="L65" s="96"/>
    </row>
    <row r="66" spans="1:12" ht="12.75">
      <c r="A66" s="25"/>
      <c r="B66" s="32"/>
      <c r="C66" s="32">
        <v>2</v>
      </c>
      <c r="D66" s="27" t="s">
        <v>60</v>
      </c>
      <c r="E66" s="124">
        <v>100</v>
      </c>
      <c r="F66" s="129"/>
      <c r="G66" s="124">
        <v>100</v>
      </c>
      <c r="H66" s="129"/>
      <c r="I66" s="124">
        <v>100</v>
      </c>
      <c r="J66" s="129"/>
      <c r="K66" s="79">
        <v>100</v>
      </c>
      <c r="L66" s="172"/>
    </row>
    <row r="67" spans="1:12" ht="12.75">
      <c r="A67" s="13"/>
      <c r="B67" s="33"/>
      <c r="C67" s="33">
        <v>3</v>
      </c>
      <c r="D67" s="15" t="s">
        <v>61</v>
      </c>
      <c r="E67" s="104">
        <f>528+100-105</f>
        <v>523</v>
      </c>
      <c r="F67" s="65"/>
      <c r="G67" s="104">
        <f>523+350</f>
        <v>873</v>
      </c>
      <c r="H67" s="65"/>
      <c r="I67" s="104">
        <f>523+350</f>
        <v>873</v>
      </c>
      <c r="J67" s="65"/>
      <c r="K67" s="192">
        <f>523+350+38</f>
        <v>911</v>
      </c>
      <c r="L67" s="97"/>
    </row>
    <row r="68" spans="1:12" ht="12.75">
      <c r="A68" s="13"/>
      <c r="B68" s="33"/>
      <c r="C68" s="33">
        <v>4</v>
      </c>
      <c r="D68" s="15" t="s">
        <v>62</v>
      </c>
      <c r="E68" s="104">
        <v>300</v>
      </c>
      <c r="F68" s="65"/>
      <c r="G68" s="104">
        <v>300</v>
      </c>
      <c r="H68" s="65"/>
      <c r="I68" s="104">
        <v>300</v>
      </c>
      <c r="J68" s="65"/>
      <c r="K68" s="77">
        <v>300</v>
      </c>
      <c r="L68" s="97"/>
    </row>
    <row r="69" spans="1:12" ht="12.75">
      <c r="A69" s="13"/>
      <c r="B69" s="33"/>
      <c r="C69" s="33">
        <v>5</v>
      </c>
      <c r="D69" s="15" t="s">
        <v>63</v>
      </c>
      <c r="E69" s="68">
        <v>150</v>
      </c>
      <c r="F69" s="65"/>
      <c r="G69" s="68">
        <f>120+32+38+60</f>
        <v>250</v>
      </c>
      <c r="H69" s="65"/>
      <c r="I69" s="68">
        <f>112+32+65+1+60</f>
        <v>270</v>
      </c>
      <c r="J69" s="65"/>
      <c r="K69" s="178">
        <f>126+32+77+23+60+7</f>
        <v>325</v>
      </c>
      <c r="L69" s="97"/>
    </row>
    <row r="70" spans="1:12" ht="13.5" thickBot="1">
      <c r="A70" s="17"/>
      <c r="B70" s="47"/>
      <c r="C70" s="47"/>
      <c r="D70" s="19" t="s">
        <v>18</v>
      </c>
      <c r="E70" s="70"/>
      <c r="F70" s="130">
        <f>SUM(E65:E69)</f>
        <v>1758</v>
      </c>
      <c r="G70" s="70"/>
      <c r="H70" s="130">
        <f>SUM(G65:G69)</f>
        <v>2208</v>
      </c>
      <c r="I70" s="70"/>
      <c r="J70" s="130">
        <f>SUM(I65:I69)</f>
        <v>2478</v>
      </c>
      <c r="K70" s="83" t="s">
        <v>165</v>
      </c>
      <c r="L70" s="173">
        <f>SUM(K65:K69)</f>
        <v>2571</v>
      </c>
    </row>
    <row r="71" spans="1:12" ht="12.75">
      <c r="A71" s="10" t="s">
        <v>19</v>
      </c>
      <c r="B71" s="37" t="s">
        <v>64</v>
      </c>
      <c r="C71" s="31">
        <v>1</v>
      </c>
      <c r="D71" s="12" t="s">
        <v>122</v>
      </c>
      <c r="E71" s="69">
        <v>2000</v>
      </c>
      <c r="F71" s="64"/>
      <c r="G71" s="69">
        <v>100</v>
      </c>
      <c r="H71" s="64"/>
      <c r="I71" s="164">
        <v>100</v>
      </c>
      <c r="J71" s="64"/>
      <c r="K71" s="181">
        <v>21</v>
      </c>
      <c r="L71" s="96"/>
    </row>
    <row r="72" spans="1:12" ht="12.75">
      <c r="A72" s="17"/>
      <c r="B72" s="47"/>
      <c r="C72" s="32">
        <f aca="true" t="shared" si="3" ref="C72:C78">+C71+1</f>
        <v>2</v>
      </c>
      <c r="D72" s="15" t="s">
        <v>128</v>
      </c>
      <c r="E72" s="68">
        <v>1000</v>
      </c>
      <c r="F72" s="65"/>
      <c r="G72" s="68">
        <v>1256</v>
      </c>
      <c r="H72" s="65"/>
      <c r="I72" s="165">
        <v>1260</v>
      </c>
      <c r="J72" s="65"/>
      <c r="K72" s="182">
        <f>1260+990+66</f>
        <v>2316</v>
      </c>
      <c r="L72" s="97"/>
    </row>
    <row r="73" spans="1:12" ht="12.75">
      <c r="A73" s="17"/>
      <c r="B73" s="47"/>
      <c r="C73" s="32">
        <f t="shared" si="3"/>
        <v>3</v>
      </c>
      <c r="D73" s="15" t="s">
        <v>111</v>
      </c>
      <c r="E73" s="68"/>
      <c r="F73" s="65"/>
      <c r="G73" s="68">
        <v>170</v>
      </c>
      <c r="H73" s="65"/>
      <c r="I73" s="165">
        <f>23+317</f>
        <v>340</v>
      </c>
      <c r="J73" s="65"/>
      <c r="K73" s="182">
        <f>23+275+64</f>
        <v>362</v>
      </c>
      <c r="L73" s="97"/>
    </row>
    <row r="74" spans="1:12" ht="12.75">
      <c r="A74" s="17"/>
      <c r="B74" s="47"/>
      <c r="C74" s="32">
        <f t="shared" si="3"/>
        <v>4</v>
      </c>
      <c r="D74" s="15" t="s">
        <v>101</v>
      </c>
      <c r="E74" s="131">
        <v>306</v>
      </c>
      <c r="F74" s="132"/>
      <c r="G74" s="131">
        <v>270</v>
      </c>
      <c r="H74" s="132"/>
      <c r="I74" s="149">
        <v>270</v>
      </c>
      <c r="J74" s="132"/>
      <c r="K74" s="162">
        <v>270</v>
      </c>
      <c r="L74" s="174"/>
    </row>
    <row r="75" spans="1:12" ht="12.75">
      <c r="A75" s="17"/>
      <c r="B75" s="47"/>
      <c r="C75" s="32">
        <f t="shared" si="3"/>
        <v>5</v>
      </c>
      <c r="D75" s="159" t="s">
        <v>120</v>
      </c>
      <c r="E75" s="160"/>
      <c r="F75" s="60"/>
      <c r="G75" s="72"/>
      <c r="H75" s="161"/>
      <c r="I75" s="166">
        <v>290</v>
      </c>
      <c r="J75" s="167"/>
      <c r="K75" s="187">
        <v>246</v>
      </c>
      <c r="L75" s="175"/>
    </row>
    <row r="76" spans="1:12" ht="12.75">
      <c r="A76" s="17"/>
      <c r="B76" s="47"/>
      <c r="C76" s="32">
        <f t="shared" si="3"/>
        <v>6</v>
      </c>
      <c r="D76" s="15" t="s">
        <v>121</v>
      </c>
      <c r="E76" s="70"/>
      <c r="F76" s="133"/>
      <c r="G76" s="70"/>
      <c r="H76" s="133"/>
      <c r="I76" s="168">
        <v>210</v>
      </c>
      <c r="J76" s="167"/>
      <c r="K76" s="195">
        <v>211</v>
      </c>
      <c r="L76" s="175"/>
    </row>
    <row r="77" spans="1:12" ht="12.75">
      <c r="A77" s="17"/>
      <c r="B77" s="47"/>
      <c r="C77" s="32">
        <f t="shared" si="3"/>
        <v>7</v>
      </c>
      <c r="D77" s="15" t="s">
        <v>132</v>
      </c>
      <c r="E77" s="70"/>
      <c r="F77" s="133"/>
      <c r="G77" s="70"/>
      <c r="H77" s="133"/>
      <c r="I77" s="168"/>
      <c r="J77" s="167"/>
      <c r="K77" s="195">
        <v>500</v>
      </c>
      <c r="L77" s="175"/>
    </row>
    <row r="78" spans="1:12" ht="12.75">
      <c r="A78" s="17"/>
      <c r="B78" s="47"/>
      <c r="C78" s="32">
        <f t="shared" si="3"/>
        <v>8</v>
      </c>
      <c r="D78" s="15" t="s">
        <v>108</v>
      </c>
      <c r="E78" s="68">
        <v>400</v>
      </c>
      <c r="F78" s="65"/>
      <c r="G78" s="68">
        <v>400</v>
      </c>
      <c r="H78" s="65"/>
      <c r="I78" s="165">
        <f>60+10+32+10+180+105+296+457+100</f>
        <v>1250</v>
      </c>
      <c r="J78" s="167"/>
      <c r="K78" s="182">
        <f>60+10+32+119+34+180+21+105+296+15+155+62</f>
        <v>1089</v>
      </c>
      <c r="L78" s="175"/>
    </row>
    <row r="79" spans="1:12" ht="13.5" thickBot="1">
      <c r="A79" s="21"/>
      <c r="B79" s="34"/>
      <c r="C79" s="48"/>
      <c r="D79" s="49" t="s">
        <v>18</v>
      </c>
      <c r="E79" s="66"/>
      <c r="F79" s="71">
        <f>SUM(E71:E74)</f>
        <v>3306</v>
      </c>
      <c r="G79" s="66"/>
      <c r="H79" s="71">
        <f>SUM(G71:G78)</f>
        <v>2196</v>
      </c>
      <c r="I79" s="169"/>
      <c r="J79" s="71">
        <f>SUM(I71:I78)</f>
        <v>3720</v>
      </c>
      <c r="K79" s="163"/>
      <c r="L79" s="98">
        <f>SUM(K71:K78)</f>
        <v>5015</v>
      </c>
    </row>
    <row r="80" spans="1:12" ht="12.75">
      <c r="A80" s="10" t="s">
        <v>29</v>
      </c>
      <c r="B80" s="31" t="s">
        <v>65</v>
      </c>
      <c r="C80" s="31">
        <v>1</v>
      </c>
      <c r="D80" s="50" t="s">
        <v>102</v>
      </c>
      <c r="E80" s="100">
        <v>200</v>
      </c>
      <c r="F80" s="129"/>
      <c r="G80" s="100">
        <v>140</v>
      </c>
      <c r="H80" s="129"/>
      <c r="I80" s="100">
        <v>80</v>
      </c>
      <c r="J80" s="129"/>
      <c r="K80" s="157">
        <f>2+11+30+39</f>
        <v>82</v>
      </c>
      <c r="L80" s="172"/>
    </row>
    <row r="81" spans="1:12" ht="12.75">
      <c r="A81" s="13"/>
      <c r="B81" s="33"/>
      <c r="C81" s="33">
        <f aca="true" t="shared" si="4" ref="C81:C87">+C80+1</f>
        <v>2</v>
      </c>
      <c r="D81" s="15" t="s">
        <v>66</v>
      </c>
      <c r="E81" s="68">
        <v>500</v>
      </c>
      <c r="F81" s="65"/>
      <c r="G81" s="68">
        <v>400</v>
      </c>
      <c r="H81" s="65"/>
      <c r="I81" s="68">
        <v>590</v>
      </c>
      <c r="J81" s="65"/>
      <c r="K81" s="178">
        <v>635</v>
      </c>
      <c r="L81" s="97"/>
    </row>
    <row r="82" spans="1:12" ht="12.75">
      <c r="A82" s="13"/>
      <c r="B82" s="33"/>
      <c r="C82" s="33">
        <f t="shared" si="4"/>
        <v>3</v>
      </c>
      <c r="D82" s="15" t="s">
        <v>67</v>
      </c>
      <c r="E82" s="68">
        <v>200</v>
      </c>
      <c r="F82" s="65"/>
      <c r="G82" s="68">
        <v>200</v>
      </c>
      <c r="H82" s="65"/>
      <c r="I82" s="68">
        <v>170</v>
      </c>
      <c r="J82" s="65"/>
      <c r="K82" s="81">
        <v>170</v>
      </c>
      <c r="L82" s="97"/>
    </row>
    <row r="83" spans="1:12" ht="12.75">
      <c r="A83" s="13"/>
      <c r="B83" s="33"/>
      <c r="C83" s="33">
        <f t="shared" si="4"/>
        <v>4</v>
      </c>
      <c r="D83" s="15" t="s">
        <v>103</v>
      </c>
      <c r="E83" s="68">
        <f>300</f>
        <v>300</v>
      </c>
      <c r="F83" s="65"/>
      <c r="G83" s="68">
        <f>300</f>
        <v>300</v>
      </c>
      <c r="H83" s="65"/>
      <c r="I83" s="68">
        <v>240</v>
      </c>
      <c r="J83" s="65"/>
      <c r="K83" s="178">
        <v>260</v>
      </c>
      <c r="L83" s="97"/>
    </row>
    <row r="84" spans="1:12" ht="12.75">
      <c r="A84" s="13"/>
      <c r="B84" s="33"/>
      <c r="C84" s="33">
        <f t="shared" si="4"/>
        <v>5</v>
      </c>
      <c r="D84" s="15" t="s">
        <v>68</v>
      </c>
      <c r="E84" s="68">
        <v>3200</v>
      </c>
      <c r="F84" s="65"/>
      <c r="G84" s="68">
        <v>3200</v>
      </c>
      <c r="H84" s="65"/>
      <c r="I84" s="68">
        <v>3200</v>
      </c>
      <c r="J84" s="65"/>
      <c r="K84" s="178">
        <v>3750</v>
      </c>
      <c r="L84" s="97"/>
    </row>
    <row r="85" spans="1:12" ht="12.75">
      <c r="A85" s="13"/>
      <c r="B85" s="33"/>
      <c r="C85" s="33">
        <f t="shared" si="4"/>
        <v>6</v>
      </c>
      <c r="D85" s="15" t="s">
        <v>69</v>
      </c>
      <c r="E85" s="68">
        <v>1500</v>
      </c>
      <c r="F85" s="65"/>
      <c r="G85" s="68">
        <f>1500+42</f>
        <v>1542</v>
      </c>
      <c r="H85" s="65"/>
      <c r="I85" s="68">
        <f>1600+106</f>
        <v>1706</v>
      </c>
      <c r="J85" s="65"/>
      <c r="K85" s="178">
        <f>130+93+1737</f>
        <v>1960</v>
      </c>
      <c r="L85" s="97"/>
    </row>
    <row r="86" spans="1:12" ht="12.75">
      <c r="A86" s="13"/>
      <c r="B86" s="33"/>
      <c r="C86" s="33">
        <f t="shared" si="4"/>
        <v>7</v>
      </c>
      <c r="D86" s="15" t="s">
        <v>70</v>
      </c>
      <c r="E86" s="68">
        <v>1000</v>
      </c>
      <c r="F86" s="65"/>
      <c r="G86" s="68">
        <v>1000</v>
      </c>
      <c r="H86" s="65"/>
      <c r="I86" s="68">
        <v>1012</v>
      </c>
      <c r="J86" s="65"/>
      <c r="K86" s="81">
        <v>1012</v>
      </c>
      <c r="L86" s="97"/>
    </row>
    <row r="87" spans="1:12" ht="12.75">
      <c r="A87" s="13"/>
      <c r="B87" s="33"/>
      <c r="C87" s="33">
        <f t="shared" si="4"/>
        <v>8</v>
      </c>
      <c r="D87" s="15" t="s">
        <v>71</v>
      </c>
      <c r="E87" s="104">
        <v>700</v>
      </c>
      <c r="F87" s="65"/>
      <c r="G87" s="104">
        <v>700</v>
      </c>
      <c r="H87" s="65"/>
      <c r="I87" s="104">
        <v>700</v>
      </c>
      <c r="J87" s="65"/>
      <c r="K87" s="192">
        <v>723</v>
      </c>
      <c r="L87" s="97"/>
    </row>
    <row r="88" spans="1:12" ht="13.5" thickBot="1">
      <c r="A88" s="21"/>
      <c r="B88" s="34"/>
      <c r="C88" s="34"/>
      <c r="D88" s="23" t="s">
        <v>18</v>
      </c>
      <c r="E88" s="66"/>
      <c r="F88" s="128">
        <f>SUM(E80:E87)</f>
        <v>7600</v>
      </c>
      <c r="G88" s="66"/>
      <c r="H88" s="128">
        <f>SUM(G80:G87)</f>
        <v>7482</v>
      </c>
      <c r="I88" s="66"/>
      <c r="J88" s="128">
        <f>SUM(I80:I87)</f>
        <v>7698</v>
      </c>
      <c r="K88" s="78"/>
      <c r="L88" s="95">
        <f>SUM(K80:K87)</f>
        <v>8592</v>
      </c>
    </row>
    <row r="89" spans="1:12" ht="12.75">
      <c r="A89" s="25" t="s">
        <v>31</v>
      </c>
      <c r="B89" s="32" t="s">
        <v>72</v>
      </c>
      <c r="C89" s="32">
        <v>1</v>
      </c>
      <c r="D89" s="27" t="s">
        <v>73</v>
      </c>
      <c r="E89" s="100">
        <v>150</v>
      </c>
      <c r="F89" s="129"/>
      <c r="G89" s="100">
        <v>150</v>
      </c>
      <c r="H89" s="129"/>
      <c r="I89" s="100">
        <v>150</v>
      </c>
      <c r="J89" s="129"/>
      <c r="K89" s="157">
        <v>140</v>
      </c>
      <c r="L89" s="172"/>
    </row>
    <row r="90" spans="1:12" ht="12.75">
      <c r="A90" s="25"/>
      <c r="B90" s="32"/>
      <c r="C90" s="33">
        <f aca="true" t="shared" si="5" ref="C90:C99">+C89+1</f>
        <v>2</v>
      </c>
      <c r="D90" s="27" t="s">
        <v>74</v>
      </c>
      <c r="E90" s="100">
        <v>665</v>
      </c>
      <c r="F90" s="129"/>
      <c r="G90" s="100">
        <v>665</v>
      </c>
      <c r="H90" s="129"/>
      <c r="I90" s="100">
        <v>665</v>
      </c>
      <c r="J90" s="129"/>
      <c r="K90" s="157">
        <v>650</v>
      </c>
      <c r="L90" s="172"/>
    </row>
    <row r="91" spans="1:12" ht="12.75">
      <c r="A91" s="25"/>
      <c r="B91" s="32"/>
      <c r="C91" s="33">
        <f t="shared" si="5"/>
        <v>3</v>
      </c>
      <c r="D91" s="27" t="s">
        <v>75</v>
      </c>
      <c r="E91" s="100">
        <v>85</v>
      </c>
      <c r="F91" s="129"/>
      <c r="G91" s="100">
        <v>85</v>
      </c>
      <c r="H91" s="129"/>
      <c r="I91" s="100">
        <v>85</v>
      </c>
      <c r="J91" s="129"/>
      <c r="K91" s="157">
        <v>90</v>
      </c>
      <c r="L91" s="172"/>
    </row>
    <row r="92" spans="1:12" ht="12.75">
      <c r="A92" s="13"/>
      <c r="B92" s="33"/>
      <c r="C92" s="33">
        <f t="shared" si="5"/>
        <v>4</v>
      </c>
      <c r="D92" s="15" t="s">
        <v>76</v>
      </c>
      <c r="E92" s="104">
        <f>250+250+75+200+50+50+175</f>
        <v>1050</v>
      </c>
      <c r="F92" s="65"/>
      <c r="G92" s="104">
        <f>250+250+75+200+50+50+175</f>
        <v>1050</v>
      </c>
      <c r="H92" s="65"/>
      <c r="I92" s="104">
        <v>1100</v>
      </c>
      <c r="J92" s="65"/>
      <c r="K92" s="192">
        <v>1130</v>
      </c>
      <c r="L92" s="97"/>
    </row>
    <row r="93" spans="1:12" ht="12.75">
      <c r="A93" s="17"/>
      <c r="B93" s="47"/>
      <c r="C93" s="33">
        <f t="shared" si="5"/>
        <v>5</v>
      </c>
      <c r="D93" s="15" t="s">
        <v>77</v>
      </c>
      <c r="E93" s="70">
        <v>2000</v>
      </c>
      <c r="F93" s="133"/>
      <c r="G93" s="70">
        <v>1934</v>
      </c>
      <c r="H93" s="133"/>
      <c r="I93" s="70">
        <v>1934</v>
      </c>
      <c r="J93" s="133"/>
      <c r="K93" s="83">
        <v>1934</v>
      </c>
      <c r="L93" s="176"/>
    </row>
    <row r="94" spans="1:12" ht="12.75">
      <c r="A94" s="17"/>
      <c r="B94" s="47"/>
      <c r="C94" s="33">
        <f t="shared" si="5"/>
        <v>6</v>
      </c>
      <c r="D94" s="15" t="s">
        <v>78</v>
      </c>
      <c r="E94" s="134">
        <v>80</v>
      </c>
      <c r="F94" s="133"/>
      <c r="G94" s="134">
        <v>80</v>
      </c>
      <c r="H94" s="133"/>
      <c r="I94" s="134">
        <v>160</v>
      </c>
      <c r="J94" s="133"/>
      <c r="K94" s="84">
        <v>160</v>
      </c>
      <c r="L94" s="176"/>
    </row>
    <row r="95" spans="1:12" ht="12.75">
      <c r="A95" s="17"/>
      <c r="B95" s="47"/>
      <c r="C95" s="33">
        <f t="shared" si="5"/>
        <v>7</v>
      </c>
      <c r="D95" s="15" t="s">
        <v>112</v>
      </c>
      <c r="E95" s="134">
        <v>1000</v>
      </c>
      <c r="F95" s="133"/>
      <c r="G95" s="134">
        <f>1000+234</f>
        <v>1234</v>
      </c>
      <c r="H95" s="133"/>
      <c r="I95" s="134">
        <f>1000+234</f>
        <v>1234</v>
      </c>
      <c r="J95" s="133"/>
      <c r="K95" s="84">
        <f>1000+234</f>
        <v>1234</v>
      </c>
      <c r="L95" s="176"/>
    </row>
    <row r="96" spans="1:12" ht="12.75">
      <c r="A96" s="17"/>
      <c r="B96" s="47"/>
      <c r="C96" s="33">
        <f t="shared" si="5"/>
        <v>8</v>
      </c>
      <c r="D96" s="15" t="s">
        <v>79</v>
      </c>
      <c r="E96" s="134">
        <v>2080</v>
      </c>
      <c r="F96" s="133"/>
      <c r="G96" s="134">
        <v>2080</v>
      </c>
      <c r="H96" s="133"/>
      <c r="I96" s="134">
        <v>2080</v>
      </c>
      <c r="J96" s="133"/>
      <c r="K96" s="84">
        <v>2080</v>
      </c>
      <c r="L96" s="176"/>
    </row>
    <row r="97" spans="1:12" ht="12.75">
      <c r="A97" s="17"/>
      <c r="B97" s="47"/>
      <c r="C97" s="33">
        <f t="shared" si="5"/>
        <v>9</v>
      </c>
      <c r="D97" s="15" t="s">
        <v>107</v>
      </c>
      <c r="E97" s="134">
        <v>1492</v>
      </c>
      <c r="F97" s="133"/>
      <c r="G97" s="134">
        <v>1492</v>
      </c>
      <c r="H97" s="133"/>
      <c r="I97" s="134">
        <v>1492</v>
      </c>
      <c r="J97" s="133"/>
      <c r="K97" s="84">
        <v>1492</v>
      </c>
      <c r="L97" s="176"/>
    </row>
    <row r="98" spans="1:12" ht="12.75">
      <c r="A98" s="17"/>
      <c r="B98" s="47"/>
      <c r="C98" s="33">
        <f t="shared" si="5"/>
        <v>10</v>
      </c>
      <c r="D98" s="15" t="s">
        <v>127</v>
      </c>
      <c r="E98" s="134"/>
      <c r="F98" s="133"/>
      <c r="G98" s="134"/>
      <c r="H98" s="133"/>
      <c r="I98" s="134"/>
      <c r="J98" s="133"/>
      <c r="K98" s="183">
        <v>87</v>
      </c>
      <c r="L98" s="176"/>
    </row>
    <row r="99" spans="1:12" ht="12.75">
      <c r="A99" s="17"/>
      <c r="B99" s="47"/>
      <c r="C99" s="33">
        <f t="shared" si="5"/>
        <v>11</v>
      </c>
      <c r="D99" s="15" t="s">
        <v>80</v>
      </c>
      <c r="E99" s="70">
        <v>550</v>
      </c>
      <c r="F99" s="133"/>
      <c r="G99" s="70">
        <v>600</v>
      </c>
      <c r="H99" s="133"/>
      <c r="I99" s="70">
        <v>700</v>
      </c>
      <c r="J99" s="133"/>
      <c r="K99" s="185">
        <v>1180</v>
      </c>
      <c r="L99" s="176"/>
    </row>
    <row r="100" spans="1:12" ht="13.5" thickBot="1">
      <c r="A100" s="17"/>
      <c r="B100" s="47"/>
      <c r="C100" s="47"/>
      <c r="D100" s="19" t="s">
        <v>18</v>
      </c>
      <c r="E100" s="70"/>
      <c r="F100" s="130">
        <f>SUM(E89:E99)</f>
        <v>9152</v>
      </c>
      <c r="G100" s="70"/>
      <c r="H100" s="130">
        <f>SUM(G89:G99)</f>
        <v>9370</v>
      </c>
      <c r="I100" s="66"/>
      <c r="J100" s="128">
        <f>SUM(I89:I99)</f>
        <v>9600</v>
      </c>
      <c r="K100" s="78"/>
      <c r="L100" s="173">
        <f>SUM(K89:K99)</f>
        <v>10177</v>
      </c>
    </row>
    <row r="101" spans="1:12" ht="12.75">
      <c r="A101" s="10" t="s">
        <v>36</v>
      </c>
      <c r="B101" s="31" t="s">
        <v>81</v>
      </c>
      <c r="C101" s="31">
        <v>1</v>
      </c>
      <c r="D101" s="12" t="s">
        <v>12</v>
      </c>
      <c r="E101" s="69">
        <f>6719+8552</f>
        <v>15271</v>
      </c>
      <c r="F101" s="64"/>
      <c r="G101" s="69">
        <f>6719+8552</f>
        <v>15271</v>
      </c>
      <c r="H101" s="64"/>
      <c r="I101" s="179">
        <f>12373+8552</f>
        <v>20925</v>
      </c>
      <c r="J101" s="129"/>
      <c r="K101" s="180">
        <f>6700+17657</f>
        <v>24357</v>
      </c>
      <c r="L101" s="64"/>
    </row>
    <row r="102" spans="1:12" ht="12.75">
      <c r="A102" s="13"/>
      <c r="B102" s="33"/>
      <c r="C102" s="33">
        <v>2</v>
      </c>
      <c r="D102" s="15" t="s">
        <v>82</v>
      </c>
      <c r="E102" s="68">
        <v>850</v>
      </c>
      <c r="F102" s="65"/>
      <c r="G102" s="68">
        <v>820</v>
      </c>
      <c r="H102" s="65"/>
      <c r="I102" s="68">
        <v>820</v>
      </c>
      <c r="J102" s="65"/>
      <c r="K102" s="178">
        <f>603+190</f>
        <v>793</v>
      </c>
      <c r="L102" s="65"/>
    </row>
    <row r="103" spans="1:12" ht="13.5" thickBot="1">
      <c r="A103" s="21"/>
      <c r="B103" s="34"/>
      <c r="C103" s="34"/>
      <c r="D103" s="23" t="s">
        <v>5</v>
      </c>
      <c r="E103" s="66"/>
      <c r="F103" s="71">
        <f>SUM(E101:E102)</f>
        <v>16121</v>
      </c>
      <c r="G103" s="66"/>
      <c r="H103" s="71">
        <f>SUM(G101:G102)</f>
        <v>16091</v>
      </c>
      <c r="I103" s="66"/>
      <c r="J103" s="71">
        <f>SUM(I101:I102)</f>
        <v>21745</v>
      </c>
      <c r="K103" s="66"/>
      <c r="L103" s="128">
        <f>SUM(K101:K102)</f>
        <v>25150</v>
      </c>
    </row>
    <row r="104" spans="1:12" ht="13.5" thickBot="1">
      <c r="A104" s="51" t="s">
        <v>38</v>
      </c>
      <c r="B104" s="52" t="s">
        <v>37</v>
      </c>
      <c r="C104" s="52"/>
      <c r="D104" s="49"/>
      <c r="E104" s="135">
        <v>1500</v>
      </c>
      <c r="F104" s="136">
        <f>SUM(E104)</f>
        <v>1500</v>
      </c>
      <c r="G104" s="135">
        <v>1500</v>
      </c>
      <c r="H104" s="136">
        <f>SUM(G104)</f>
        <v>1500</v>
      </c>
      <c r="I104" s="135">
        <v>1500</v>
      </c>
      <c r="J104" s="136">
        <f>SUM(I104)</f>
        <v>1500</v>
      </c>
      <c r="K104" s="194">
        <v>1635</v>
      </c>
      <c r="L104" s="136">
        <f>SUM(K104)</f>
        <v>1635</v>
      </c>
    </row>
    <row r="105" spans="1:12" ht="13.5" thickBot="1">
      <c r="A105" s="53" t="s">
        <v>39</v>
      </c>
      <c r="B105" s="35" t="s">
        <v>110</v>
      </c>
      <c r="C105" s="37"/>
      <c r="D105" s="38"/>
      <c r="E105" s="137">
        <v>541</v>
      </c>
      <c r="F105" s="138">
        <f>SUM(E105)</f>
        <v>541</v>
      </c>
      <c r="G105" s="137">
        <f>541+11</f>
        <v>552</v>
      </c>
      <c r="H105" s="138">
        <f>SUM(G105)</f>
        <v>552</v>
      </c>
      <c r="I105" s="137">
        <f>541+11</f>
        <v>552</v>
      </c>
      <c r="J105" s="138">
        <f>SUM(I105)</f>
        <v>552</v>
      </c>
      <c r="K105" s="193">
        <f>543+11</f>
        <v>554</v>
      </c>
      <c r="L105" s="138">
        <f>SUM(K105)</f>
        <v>554</v>
      </c>
    </row>
    <row r="106" spans="1:12" ht="12.75">
      <c r="A106" s="41"/>
      <c r="B106" s="31" t="s">
        <v>83</v>
      </c>
      <c r="C106" s="31"/>
      <c r="D106" s="12"/>
      <c r="E106" s="69"/>
      <c r="F106" s="74">
        <f>SUM(F61:F105)</f>
        <v>71348</v>
      </c>
      <c r="G106" s="69"/>
      <c r="H106" s="74">
        <f>SUM(H61:H105)</f>
        <v>70769</v>
      </c>
      <c r="I106" s="69"/>
      <c r="J106" s="74">
        <f>SUM(J61:J105)</f>
        <v>78923</v>
      </c>
      <c r="K106" s="82"/>
      <c r="L106" s="92">
        <f>SUM(L61:L105)</f>
        <v>85749</v>
      </c>
    </row>
    <row r="107" spans="1:12" ht="13.5" thickBot="1">
      <c r="A107" s="42"/>
      <c r="B107" s="34" t="s">
        <v>84</v>
      </c>
      <c r="C107" s="34"/>
      <c r="D107" s="23"/>
      <c r="E107" s="66"/>
      <c r="F107" s="106">
        <f>+F106-540</f>
        <v>70808</v>
      </c>
      <c r="G107" s="66"/>
      <c r="H107" s="106">
        <f>+H106-540-11</f>
        <v>70218</v>
      </c>
      <c r="I107" s="66"/>
      <c r="J107" s="106">
        <f>+J106-540-11</f>
        <v>78372</v>
      </c>
      <c r="K107" s="78"/>
      <c r="L107" s="85">
        <f>+L106-553-11</f>
        <v>85185</v>
      </c>
    </row>
    <row r="108" spans="1:12" ht="13.5" thickBot="1">
      <c r="A108" s="54"/>
      <c r="B108" s="54"/>
      <c r="C108" s="54"/>
      <c r="D108" s="54"/>
      <c r="E108" s="139"/>
      <c r="F108" s="55"/>
      <c r="G108" s="139"/>
      <c r="H108" s="55"/>
      <c r="I108" s="139"/>
      <c r="J108" s="55"/>
      <c r="K108" s="93"/>
      <c r="L108" s="55"/>
    </row>
    <row r="109" spans="1:12" ht="13.5" thickBot="1">
      <c r="A109" s="56"/>
      <c r="B109" s="57" t="s">
        <v>85</v>
      </c>
      <c r="C109" s="99"/>
      <c r="D109" s="151"/>
      <c r="E109" s="144"/>
      <c r="F109" s="138">
        <f>+F51-F107</f>
        <v>7587.880000000005</v>
      </c>
      <c r="G109" s="144"/>
      <c r="H109" s="138">
        <f>+H51-H107</f>
        <v>8592.880000000005</v>
      </c>
      <c r="I109" s="144"/>
      <c r="J109" s="138">
        <f>+J51-J107</f>
        <v>7092.880000000005</v>
      </c>
      <c r="K109" s="145"/>
      <c r="L109" s="75">
        <f>+L51-L107</f>
        <v>9399.880000000005</v>
      </c>
    </row>
    <row r="110" spans="1:12" ht="12.75">
      <c r="A110" s="54"/>
      <c r="B110" s="146" t="s">
        <v>86</v>
      </c>
      <c r="C110" s="41" t="s">
        <v>119</v>
      </c>
      <c r="D110" s="152"/>
      <c r="E110" s="148">
        <v>3000</v>
      </c>
      <c r="F110" s="125"/>
      <c r="G110" s="100">
        <v>3000</v>
      </c>
      <c r="H110" s="125"/>
      <c r="I110" s="100">
        <f>3000+545</f>
        <v>3545</v>
      </c>
      <c r="J110" s="125"/>
      <c r="K110" s="157">
        <f>1000+546</f>
        <v>1546</v>
      </c>
      <c r="L110" s="88"/>
    </row>
    <row r="111" spans="2:12" ht="12.75">
      <c r="B111" s="146"/>
      <c r="C111" s="59" t="s">
        <v>87</v>
      </c>
      <c r="D111" s="153"/>
      <c r="E111" s="149">
        <f>-217-1400-608-2233-3000-1400</f>
        <v>-8858</v>
      </c>
      <c r="F111" s="126"/>
      <c r="G111" s="131">
        <f>-217-1400-608-2233-3000-1400-1115</f>
        <v>-9973</v>
      </c>
      <c r="H111" s="126"/>
      <c r="I111" s="131">
        <f>-217-1400-608-2233-3000-1400-1115-545</f>
        <v>-10518</v>
      </c>
      <c r="J111" s="126"/>
      <c r="K111" s="61">
        <f>-217-1400-608-2233-3000-1400-1115-546</f>
        <v>-10519</v>
      </c>
      <c r="L111" s="89"/>
    </row>
    <row r="112" spans="2:13" ht="13.5" thickBot="1">
      <c r="B112" s="147" t="s">
        <v>88</v>
      </c>
      <c r="C112" s="42" t="s">
        <v>89</v>
      </c>
      <c r="D112" s="154"/>
      <c r="E112" s="150">
        <v>-1330</v>
      </c>
      <c r="F112" s="128">
        <f>SUM(E110:E112)</f>
        <v>-7188</v>
      </c>
      <c r="G112" s="127">
        <v>-1620</v>
      </c>
      <c r="H112" s="128">
        <f>SUM(G110:G112)</f>
        <v>-8593</v>
      </c>
      <c r="I112" s="127">
        <v>-120</v>
      </c>
      <c r="J112" s="128">
        <f>SUM(I110:I112)</f>
        <v>-7093</v>
      </c>
      <c r="K112" s="90">
        <v>-427</v>
      </c>
      <c r="L112" s="91">
        <f>SUM(K110:K112)</f>
        <v>-9400</v>
      </c>
      <c r="M112" s="189">
        <f>+L109+L112</f>
        <v>-0.11999999999534339</v>
      </c>
    </row>
    <row r="113" spans="2:12" ht="12.75">
      <c r="B113" s="58" t="s">
        <v>97</v>
      </c>
      <c r="C113" s="32"/>
      <c r="D113" s="32"/>
      <c r="E113" s="140">
        <v>-498</v>
      </c>
      <c r="F113" s="125" t="s">
        <v>90</v>
      </c>
      <c r="G113" s="140">
        <v>617</v>
      </c>
      <c r="H113" s="125" t="s">
        <v>90</v>
      </c>
      <c r="I113" s="140">
        <v>617</v>
      </c>
      <c r="J113" s="125" t="s">
        <v>90</v>
      </c>
      <c r="K113" s="108">
        <v>617</v>
      </c>
      <c r="L113" s="105" t="s">
        <v>90</v>
      </c>
    </row>
    <row r="114" spans="2:12" ht="12.75">
      <c r="B114" s="59" t="s">
        <v>91</v>
      </c>
      <c r="C114" s="33"/>
      <c r="D114" s="33"/>
      <c r="E114" s="141">
        <f>+E112-E117</f>
        <v>-1330</v>
      </c>
      <c r="F114" s="126" t="s">
        <v>90</v>
      </c>
      <c r="G114" s="141">
        <f>+G112-G117</f>
        <v>-1631</v>
      </c>
      <c r="H114" s="126" t="s">
        <v>90</v>
      </c>
      <c r="I114" s="141">
        <f>+I112-I117</f>
        <v>-131</v>
      </c>
      <c r="J114" s="126" t="s">
        <v>90</v>
      </c>
      <c r="K114" s="109">
        <f>+K112-K117</f>
        <v>-427</v>
      </c>
      <c r="L114" s="94" t="s">
        <v>90</v>
      </c>
    </row>
    <row r="115" spans="2:12" ht="13.5" thickBot="1">
      <c r="B115" s="42" t="s">
        <v>92</v>
      </c>
      <c r="C115" s="34"/>
      <c r="D115" s="34"/>
      <c r="E115" s="142">
        <f>+E113-E114</f>
        <v>832</v>
      </c>
      <c r="F115" s="128" t="s">
        <v>90</v>
      </c>
      <c r="G115" s="142">
        <f>+G113-G114</f>
        <v>2248</v>
      </c>
      <c r="H115" s="128" t="s">
        <v>90</v>
      </c>
      <c r="I115" s="142">
        <f>+I113-I114</f>
        <v>748</v>
      </c>
      <c r="J115" s="128" t="s">
        <v>90</v>
      </c>
      <c r="K115" s="110">
        <f>+K113-K114</f>
        <v>1044</v>
      </c>
      <c r="L115" s="95" t="s">
        <v>90</v>
      </c>
    </row>
    <row r="116" spans="2:12" ht="12.75">
      <c r="B116" s="41" t="s">
        <v>93</v>
      </c>
      <c r="C116" s="31"/>
      <c r="D116" s="31"/>
      <c r="E116" s="143">
        <v>94</v>
      </c>
      <c r="F116" s="64" t="s">
        <v>90</v>
      </c>
      <c r="G116" s="143">
        <v>94</v>
      </c>
      <c r="H116" s="64" t="s">
        <v>90</v>
      </c>
      <c r="I116" s="107">
        <v>94</v>
      </c>
      <c r="J116" s="96" t="s">
        <v>90</v>
      </c>
      <c r="K116" s="107">
        <v>94</v>
      </c>
      <c r="L116" s="96" t="s">
        <v>90</v>
      </c>
    </row>
    <row r="117" spans="2:12" ht="12.75">
      <c r="B117" s="59" t="s">
        <v>94</v>
      </c>
      <c r="C117" s="33"/>
      <c r="D117" s="33"/>
      <c r="E117" s="141">
        <f>E105-E49</f>
        <v>0</v>
      </c>
      <c r="F117" s="65" t="s">
        <v>90</v>
      </c>
      <c r="G117" s="141">
        <f>G105-G49</f>
        <v>11</v>
      </c>
      <c r="H117" s="65" t="s">
        <v>90</v>
      </c>
      <c r="I117" s="155">
        <f>I105-I49</f>
        <v>11</v>
      </c>
      <c r="J117" s="97" t="s">
        <v>90</v>
      </c>
      <c r="K117" s="155">
        <f>K105-K49</f>
        <v>0</v>
      </c>
      <c r="L117" s="97" t="s">
        <v>90</v>
      </c>
    </row>
    <row r="118" spans="2:12" ht="13.5" thickBot="1">
      <c r="B118" s="42" t="s">
        <v>95</v>
      </c>
      <c r="C118" s="34"/>
      <c r="D118" s="34"/>
      <c r="E118" s="142">
        <f>+E116-E117</f>
        <v>94</v>
      </c>
      <c r="F118" s="71" t="s">
        <v>90</v>
      </c>
      <c r="G118" s="142">
        <f>+G116-G117</f>
        <v>83</v>
      </c>
      <c r="H118" s="71" t="s">
        <v>90</v>
      </c>
      <c r="I118" s="156">
        <f>+I116-I117</f>
        <v>83</v>
      </c>
      <c r="J118" s="98" t="s">
        <v>90</v>
      </c>
      <c r="K118" s="156">
        <f>+K116-K117</f>
        <v>94</v>
      </c>
      <c r="L118" s="98" t="s">
        <v>90</v>
      </c>
    </row>
  </sheetData>
  <mergeCells count="8">
    <mergeCell ref="K1:L1"/>
    <mergeCell ref="K52:L52"/>
    <mergeCell ref="E1:F1"/>
    <mergeCell ref="E52:F52"/>
    <mergeCell ref="I1:J1"/>
    <mergeCell ref="I52:J52"/>
    <mergeCell ref="G1:H1"/>
    <mergeCell ref="G52:H52"/>
  </mergeCells>
  <printOptions/>
  <pageMargins left="0.46" right="0.28" top="0.6" bottom="0.38" header="0.29" footer="0.17"/>
  <pageSetup horizontalDpi="600" verticalDpi="600" orientation="portrait" paperSize="9" scale="99" r:id="rId1"/>
  <headerFooter alignWithMargins="0">
    <oddHeader>&amp;C&amp;"Arial CE,Tučná kurzíva"&amp;14III.úprava rozpočtu města Blovice - schválená ZM dne 19.12.2007</oddHeader>
    <oddFooter>&amp;Lvyvěšeno: 20.12.2007
sejmuto:&amp;Rsestavil: Ing.Hodek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72"/>
  <sheetViews>
    <sheetView workbookViewId="0" topLeftCell="A31">
      <selection activeCell="F54" sqref="F54"/>
    </sheetView>
  </sheetViews>
  <sheetFormatPr defaultColWidth="9.00390625" defaultRowHeight="12.75"/>
  <cols>
    <col min="1" max="1" width="4.625" style="0" customWidth="1"/>
    <col min="2" max="2" width="24.375" style="0" customWidth="1"/>
    <col min="3" max="3" width="9.625" style="0" customWidth="1"/>
    <col min="5" max="5" width="8.50390625" style="0" customWidth="1"/>
  </cols>
  <sheetData>
    <row r="2" ht="18" thickBot="1">
      <c r="A2" s="197" t="s">
        <v>133</v>
      </c>
    </row>
    <row r="3" spans="1:20" ht="13.5" thickBot="1">
      <c r="A3" s="198" t="s">
        <v>1</v>
      </c>
      <c r="B3" s="199" t="s">
        <v>2</v>
      </c>
      <c r="C3" s="200" t="s">
        <v>134</v>
      </c>
      <c r="D3" s="200" t="s">
        <v>135</v>
      </c>
      <c r="E3" s="200">
        <v>2008</v>
      </c>
      <c r="F3" s="201">
        <v>2009</v>
      </c>
      <c r="G3" s="201">
        <v>2010</v>
      </c>
      <c r="H3" s="202">
        <v>2011</v>
      </c>
      <c r="I3" s="203">
        <v>2012</v>
      </c>
      <c r="J3" s="203">
        <v>2013</v>
      </c>
      <c r="K3" s="203">
        <v>2014</v>
      </c>
      <c r="L3" s="203">
        <v>2015</v>
      </c>
      <c r="M3" s="203">
        <v>2016</v>
      </c>
      <c r="N3" s="203">
        <v>2017</v>
      </c>
      <c r="O3" s="203">
        <v>2018</v>
      </c>
      <c r="P3" s="203">
        <v>2019</v>
      </c>
      <c r="Q3" s="203">
        <v>2020</v>
      </c>
      <c r="R3" s="203">
        <v>2021</v>
      </c>
      <c r="S3" s="203">
        <v>2022</v>
      </c>
      <c r="T3" s="203">
        <v>2023</v>
      </c>
    </row>
    <row r="4" spans="1:20" ht="12.75">
      <c r="A4" s="10" t="s">
        <v>6</v>
      </c>
      <c r="B4" s="11" t="s">
        <v>136</v>
      </c>
      <c r="C4" s="204">
        <v>496</v>
      </c>
      <c r="D4" s="204"/>
      <c r="E4" s="204">
        <f aca="true" t="shared" si="0" ref="E4:T4">+D4*1.05</f>
        <v>0</v>
      </c>
      <c r="F4" s="204">
        <f t="shared" si="0"/>
        <v>0</v>
      </c>
      <c r="G4" s="205">
        <f t="shared" si="0"/>
        <v>0</v>
      </c>
      <c r="H4" s="206">
        <f t="shared" si="0"/>
        <v>0</v>
      </c>
      <c r="I4" s="207">
        <f t="shared" si="0"/>
        <v>0</v>
      </c>
      <c r="J4" s="207">
        <f t="shared" si="0"/>
        <v>0</v>
      </c>
      <c r="K4" s="207">
        <f t="shared" si="0"/>
        <v>0</v>
      </c>
      <c r="L4" s="207">
        <f t="shared" si="0"/>
        <v>0</v>
      </c>
      <c r="M4" s="207">
        <f t="shared" si="0"/>
        <v>0</v>
      </c>
      <c r="N4" s="207">
        <f t="shared" si="0"/>
        <v>0</v>
      </c>
      <c r="O4" s="207">
        <f t="shared" si="0"/>
        <v>0</v>
      </c>
      <c r="P4" s="207">
        <f t="shared" si="0"/>
        <v>0</v>
      </c>
      <c r="Q4" s="207">
        <f t="shared" si="0"/>
        <v>0</v>
      </c>
      <c r="R4" s="207">
        <f t="shared" si="0"/>
        <v>0</v>
      </c>
      <c r="S4" s="207">
        <f t="shared" si="0"/>
        <v>0</v>
      </c>
      <c r="T4" s="207">
        <f t="shared" si="0"/>
        <v>0</v>
      </c>
    </row>
    <row r="5" spans="1:20" ht="12.75">
      <c r="A5" s="13" t="s">
        <v>8</v>
      </c>
      <c r="B5" s="14" t="s">
        <v>137</v>
      </c>
      <c r="C5" s="208">
        <v>33600</v>
      </c>
      <c r="D5" s="208">
        <v>42777</v>
      </c>
      <c r="E5" s="208">
        <v>41000</v>
      </c>
      <c r="F5" s="208">
        <f aca="true" t="shared" si="1" ref="F5:T5">+E5*1.05</f>
        <v>43050</v>
      </c>
      <c r="G5" s="209">
        <f t="shared" si="1"/>
        <v>45202.5</v>
      </c>
      <c r="H5" s="210">
        <f t="shared" si="1"/>
        <v>47462.625</v>
      </c>
      <c r="I5" s="211">
        <f t="shared" si="1"/>
        <v>49835.75625</v>
      </c>
      <c r="J5" s="211">
        <f t="shared" si="1"/>
        <v>52327.5440625</v>
      </c>
      <c r="K5" s="211">
        <f t="shared" si="1"/>
        <v>54943.921265625</v>
      </c>
      <c r="L5" s="211">
        <f t="shared" si="1"/>
        <v>57691.11732890626</v>
      </c>
      <c r="M5" s="211">
        <f t="shared" si="1"/>
        <v>60575.67319535157</v>
      </c>
      <c r="N5" s="211">
        <f t="shared" si="1"/>
        <v>63604.45685511915</v>
      </c>
      <c r="O5" s="211">
        <f t="shared" si="1"/>
        <v>66784.67969787511</v>
      </c>
      <c r="P5" s="211">
        <f t="shared" si="1"/>
        <v>70123.91368276886</v>
      </c>
      <c r="Q5" s="211">
        <f t="shared" si="1"/>
        <v>73630.10936690732</v>
      </c>
      <c r="R5" s="211">
        <f t="shared" si="1"/>
        <v>77311.61483525268</v>
      </c>
      <c r="S5" s="211">
        <f t="shared" si="1"/>
        <v>81177.19557701531</v>
      </c>
      <c r="T5" s="211">
        <f t="shared" si="1"/>
        <v>85236.05535586609</v>
      </c>
    </row>
    <row r="6" spans="1:20" ht="12.75">
      <c r="A6" s="13" t="s">
        <v>13</v>
      </c>
      <c r="B6" s="14" t="s">
        <v>138</v>
      </c>
      <c r="C6" s="208">
        <v>29423</v>
      </c>
      <c r="D6" s="208">
        <v>31798</v>
      </c>
      <c r="E6" s="208">
        <f aca="true" t="shared" si="2" ref="E6:T6">+D6*1.05</f>
        <v>33387.9</v>
      </c>
      <c r="F6" s="208">
        <f t="shared" si="2"/>
        <v>35057.295000000006</v>
      </c>
      <c r="G6" s="209">
        <f t="shared" si="2"/>
        <v>36810.159750000006</v>
      </c>
      <c r="H6" s="210">
        <f t="shared" si="2"/>
        <v>38650.66773750001</v>
      </c>
      <c r="I6" s="211">
        <f t="shared" si="2"/>
        <v>40583.20112437501</v>
      </c>
      <c r="J6" s="211">
        <f t="shared" si="2"/>
        <v>42612.36118059376</v>
      </c>
      <c r="K6" s="211">
        <f t="shared" si="2"/>
        <v>44742.979239623455</v>
      </c>
      <c r="L6" s="211">
        <f t="shared" si="2"/>
        <v>46980.12820160463</v>
      </c>
      <c r="M6" s="211">
        <f t="shared" si="2"/>
        <v>49329.134611684865</v>
      </c>
      <c r="N6" s="211">
        <f t="shared" si="2"/>
        <v>51795.59134226911</v>
      </c>
      <c r="O6" s="211">
        <f t="shared" si="2"/>
        <v>54385.37090938257</v>
      </c>
      <c r="P6" s="211">
        <f t="shared" si="2"/>
        <v>57104.6394548517</v>
      </c>
      <c r="Q6" s="211">
        <f t="shared" si="2"/>
        <v>59959.871427594284</v>
      </c>
      <c r="R6" s="211">
        <f t="shared" si="2"/>
        <v>62957.864998974</v>
      </c>
      <c r="S6" s="211">
        <f t="shared" si="2"/>
        <v>66105.7582489227</v>
      </c>
      <c r="T6" s="211">
        <f t="shared" si="2"/>
        <v>69411.04616136884</v>
      </c>
    </row>
    <row r="7" spans="1:20" ht="12.75">
      <c r="A7" s="13" t="s">
        <v>19</v>
      </c>
      <c r="B7" s="14" t="s">
        <v>139</v>
      </c>
      <c r="C7" s="208">
        <v>5486</v>
      </c>
      <c r="D7" s="208">
        <v>5905</v>
      </c>
      <c r="E7" s="208">
        <f aca="true" t="shared" si="3" ref="E7:T7">+D7*1.05</f>
        <v>6200.25</v>
      </c>
      <c r="F7" s="208">
        <f t="shared" si="3"/>
        <v>6510.262500000001</v>
      </c>
      <c r="G7" s="209">
        <f t="shared" si="3"/>
        <v>6835.775625000001</v>
      </c>
      <c r="H7" s="210">
        <f t="shared" si="3"/>
        <v>7177.564406250001</v>
      </c>
      <c r="I7" s="211">
        <f t="shared" si="3"/>
        <v>7536.442626562502</v>
      </c>
      <c r="J7" s="211">
        <f t="shared" si="3"/>
        <v>7913.264757890627</v>
      </c>
      <c r="K7" s="211">
        <f t="shared" si="3"/>
        <v>8308.92799578516</v>
      </c>
      <c r="L7" s="211">
        <f t="shared" si="3"/>
        <v>8724.374395574418</v>
      </c>
      <c r="M7" s="211">
        <f t="shared" si="3"/>
        <v>9160.593115353138</v>
      </c>
      <c r="N7" s="211">
        <f t="shared" si="3"/>
        <v>9618.622771120796</v>
      </c>
      <c r="O7" s="211">
        <f t="shared" si="3"/>
        <v>10099.553909676835</v>
      </c>
      <c r="P7" s="211">
        <f t="shared" si="3"/>
        <v>10604.531605160677</v>
      </c>
      <c r="Q7" s="211">
        <f t="shared" si="3"/>
        <v>11134.758185418712</v>
      </c>
      <c r="R7" s="211">
        <f t="shared" si="3"/>
        <v>11691.496094689648</v>
      </c>
      <c r="S7" s="211">
        <f t="shared" si="3"/>
        <v>12276.07089942413</v>
      </c>
      <c r="T7" s="211">
        <f t="shared" si="3"/>
        <v>12889.874444395338</v>
      </c>
    </row>
    <row r="8" spans="1:20" ht="12.75">
      <c r="A8" s="13" t="s">
        <v>29</v>
      </c>
      <c r="B8" s="14" t="s">
        <v>140</v>
      </c>
      <c r="C8" s="208">
        <v>4907</v>
      </c>
      <c r="D8" s="208">
        <v>6715</v>
      </c>
      <c r="E8" s="208">
        <v>2000</v>
      </c>
      <c r="F8" s="208">
        <f aca="true" t="shared" si="4" ref="F8:T8">+E8*1.05</f>
        <v>2100</v>
      </c>
      <c r="G8" s="209">
        <f t="shared" si="4"/>
        <v>2205</v>
      </c>
      <c r="H8" s="210">
        <f t="shared" si="4"/>
        <v>2315.25</v>
      </c>
      <c r="I8" s="211">
        <f t="shared" si="4"/>
        <v>2431.0125000000003</v>
      </c>
      <c r="J8" s="211">
        <f t="shared" si="4"/>
        <v>2552.5631250000006</v>
      </c>
      <c r="K8" s="211">
        <f t="shared" si="4"/>
        <v>2680.191281250001</v>
      </c>
      <c r="L8" s="211">
        <f t="shared" si="4"/>
        <v>2814.200845312501</v>
      </c>
      <c r="M8" s="211">
        <f t="shared" si="4"/>
        <v>2954.910887578126</v>
      </c>
      <c r="N8" s="211">
        <f t="shared" si="4"/>
        <v>3102.6564319570325</v>
      </c>
      <c r="O8" s="211">
        <f t="shared" si="4"/>
        <v>3257.7892535548845</v>
      </c>
      <c r="P8" s="211">
        <f t="shared" si="4"/>
        <v>3420.6787162326286</v>
      </c>
      <c r="Q8" s="211">
        <f t="shared" si="4"/>
        <v>3591.7126520442603</v>
      </c>
      <c r="R8" s="211">
        <f t="shared" si="4"/>
        <v>3771.2982846464733</v>
      </c>
      <c r="S8" s="211">
        <f t="shared" si="4"/>
        <v>3959.863198878797</v>
      </c>
      <c r="T8" s="211">
        <f t="shared" si="4"/>
        <v>4157.856358822737</v>
      </c>
    </row>
    <row r="9" spans="1:20" ht="12.75">
      <c r="A9" s="13" t="s">
        <v>31</v>
      </c>
      <c r="B9" s="14" t="s">
        <v>141</v>
      </c>
      <c r="C9" s="208">
        <v>781</v>
      </c>
      <c r="D9" s="208">
        <v>765</v>
      </c>
      <c r="E9" s="208">
        <f aca="true" t="shared" si="5" ref="E9:T9">+D9*1.05</f>
        <v>803.25</v>
      </c>
      <c r="F9" s="208">
        <f t="shared" si="5"/>
        <v>843.4125</v>
      </c>
      <c r="G9" s="209">
        <f t="shared" si="5"/>
        <v>885.5831250000001</v>
      </c>
      <c r="H9" s="210">
        <f t="shared" si="5"/>
        <v>929.8622812500001</v>
      </c>
      <c r="I9" s="211">
        <f t="shared" si="5"/>
        <v>976.3553953125001</v>
      </c>
      <c r="J9" s="211">
        <f t="shared" si="5"/>
        <v>1025.1731650781253</v>
      </c>
      <c r="K9" s="211">
        <f t="shared" si="5"/>
        <v>1076.4318233320316</v>
      </c>
      <c r="L9" s="211">
        <f t="shared" si="5"/>
        <v>1130.2534144986332</v>
      </c>
      <c r="M9" s="211">
        <f t="shared" si="5"/>
        <v>1186.766085223565</v>
      </c>
      <c r="N9" s="211">
        <f t="shared" si="5"/>
        <v>1246.1043894847433</v>
      </c>
      <c r="O9" s="211">
        <f t="shared" si="5"/>
        <v>1308.4096089589805</v>
      </c>
      <c r="P9" s="211">
        <f t="shared" si="5"/>
        <v>1373.8300894069296</v>
      </c>
      <c r="Q9" s="211">
        <f t="shared" si="5"/>
        <v>1442.521593877276</v>
      </c>
      <c r="R9" s="211">
        <f t="shared" si="5"/>
        <v>1514.6476735711399</v>
      </c>
      <c r="S9" s="211">
        <f t="shared" si="5"/>
        <v>1590.3800572496968</v>
      </c>
      <c r="T9" s="211">
        <f t="shared" si="5"/>
        <v>1669.8990601121818</v>
      </c>
    </row>
    <row r="10" spans="1:20" ht="12.75">
      <c r="A10" s="13" t="s">
        <v>36</v>
      </c>
      <c r="B10" s="14" t="s">
        <v>142</v>
      </c>
      <c r="C10" s="208">
        <v>1822</v>
      </c>
      <c r="D10" s="208">
        <v>2500</v>
      </c>
      <c r="E10" s="208">
        <f aca="true" t="shared" si="6" ref="E10:T10">+D10*1.05</f>
        <v>2625</v>
      </c>
      <c r="F10" s="208">
        <f t="shared" si="6"/>
        <v>2756.25</v>
      </c>
      <c r="G10" s="209">
        <f t="shared" si="6"/>
        <v>2894.0625</v>
      </c>
      <c r="H10" s="210">
        <f t="shared" si="6"/>
        <v>3038.765625</v>
      </c>
      <c r="I10" s="211">
        <f t="shared" si="6"/>
        <v>3190.7039062500003</v>
      </c>
      <c r="J10" s="211">
        <f t="shared" si="6"/>
        <v>3350.2391015625003</v>
      </c>
      <c r="K10" s="211">
        <f t="shared" si="6"/>
        <v>3517.7510566406254</v>
      </c>
      <c r="L10" s="211">
        <f t="shared" si="6"/>
        <v>3693.6386094726568</v>
      </c>
      <c r="M10" s="211">
        <f t="shared" si="6"/>
        <v>3878.32053994629</v>
      </c>
      <c r="N10" s="211">
        <f t="shared" si="6"/>
        <v>4072.2365669436044</v>
      </c>
      <c r="O10" s="211">
        <f t="shared" si="6"/>
        <v>4275.8483952907845</v>
      </c>
      <c r="P10" s="211">
        <f t="shared" si="6"/>
        <v>4489.640815055324</v>
      </c>
      <c r="Q10" s="211">
        <f t="shared" si="6"/>
        <v>4714.122855808091</v>
      </c>
      <c r="R10" s="211">
        <f t="shared" si="6"/>
        <v>4949.828998598496</v>
      </c>
      <c r="S10" s="211">
        <f t="shared" si="6"/>
        <v>5197.3204485284205</v>
      </c>
      <c r="T10" s="211">
        <f t="shared" si="6"/>
        <v>5457.186470954842</v>
      </c>
    </row>
    <row r="11" spans="1:20" ht="12.75">
      <c r="A11" s="13" t="s">
        <v>38</v>
      </c>
      <c r="B11" s="14" t="s">
        <v>143</v>
      </c>
      <c r="C11" s="208">
        <v>500</v>
      </c>
      <c r="D11" s="208">
        <v>500</v>
      </c>
      <c r="E11" s="208">
        <f aca="true" t="shared" si="7" ref="E11:T11">+D11*1.05</f>
        <v>525</v>
      </c>
      <c r="F11" s="208">
        <f t="shared" si="7"/>
        <v>551.25</v>
      </c>
      <c r="G11" s="209">
        <f t="shared" si="7"/>
        <v>578.8125</v>
      </c>
      <c r="H11" s="210">
        <f t="shared" si="7"/>
        <v>607.7531250000001</v>
      </c>
      <c r="I11" s="211">
        <f t="shared" si="7"/>
        <v>638.1407812500001</v>
      </c>
      <c r="J11" s="211">
        <f t="shared" si="7"/>
        <v>670.0478203125002</v>
      </c>
      <c r="K11" s="211">
        <f t="shared" si="7"/>
        <v>703.5502113281252</v>
      </c>
      <c r="L11" s="211">
        <f t="shared" si="7"/>
        <v>738.7277218945316</v>
      </c>
      <c r="M11" s="211">
        <f t="shared" si="7"/>
        <v>775.6641079892581</v>
      </c>
      <c r="N11" s="211">
        <f t="shared" si="7"/>
        <v>814.4473133887211</v>
      </c>
      <c r="O11" s="211">
        <f t="shared" si="7"/>
        <v>855.1696790581572</v>
      </c>
      <c r="P11" s="211">
        <f t="shared" si="7"/>
        <v>897.9281630110651</v>
      </c>
      <c r="Q11" s="211">
        <f t="shared" si="7"/>
        <v>942.8245711616183</v>
      </c>
      <c r="R11" s="211">
        <f t="shared" si="7"/>
        <v>989.9657997196992</v>
      </c>
      <c r="S11" s="211">
        <f t="shared" si="7"/>
        <v>1039.4640897056843</v>
      </c>
      <c r="T11" s="211">
        <f t="shared" si="7"/>
        <v>1091.4372941909685</v>
      </c>
    </row>
    <row r="12" spans="1:20" ht="12.75">
      <c r="A12" s="13" t="s">
        <v>39</v>
      </c>
      <c r="B12" s="14" t="s">
        <v>144</v>
      </c>
      <c r="C12" s="208">
        <v>3891</v>
      </c>
      <c r="D12" s="208">
        <v>3635</v>
      </c>
      <c r="E12" s="208">
        <f aca="true" t="shared" si="8" ref="E12:T12">+D12*1.05</f>
        <v>3816.75</v>
      </c>
      <c r="F12" s="208">
        <f t="shared" si="8"/>
        <v>4007.5875</v>
      </c>
      <c r="G12" s="209">
        <f t="shared" si="8"/>
        <v>4207.966875</v>
      </c>
      <c r="H12" s="210">
        <f t="shared" si="8"/>
        <v>4418.36521875</v>
      </c>
      <c r="I12" s="211">
        <f t="shared" si="8"/>
        <v>4639.2834796875</v>
      </c>
      <c r="J12" s="211">
        <f t="shared" si="8"/>
        <v>4871.247653671876</v>
      </c>
      <c r="K12" s="211">
        <f t="shared" si="8"/>
        <v>5114.8100363554695</v>
      </c>
      <c r="L12" s="211">
        <f t="shared" si="8"/>
        <v>5370.550538173243</v>
      </c>
      <c r="M12" s="211">
        <f t="shared" si="8"/>
        <v>5639.078065081905</v>
      </c>
      <c r="N12" s="211">
        <f t="shared" si="8"/>
        <v>5921.031968336</v>
      </c>
      <c r="O12" s="211">
        <f t="shared" si="8"/>
        <v>6217.083566752801</v>
      </c>
      <c r="P12" s="211">
        <f t="shared" si="8"/>
        <v>6527.937745090441</v>
      </c>
      <c r="Q12" s="211">
        <f t="shared" si="8"/>
        <v>6854.334632344963</v>
      </c>
      <c r="R12" s="211">
        <f t="shared" si="8"/>
        <v>7197.051363962211</v>
      </c>
      <c r="S12" s="211">
        <f t="shared" si="8"/>
        <v>7556.903932160322</v>
      </c>
      <c r="T12" s="211">
        <f t="shared" si="8"/>
        <v>7934.749128768339</v>
      </c>
    </row>
    <row r="13" spans="1:20" ht="13.5" thickBot="1">
      <c r="A13" s="42" t="s">
        <v>145</v>
      </c>
      <c r="B13" s="22" t="s">
        <v>146</v>
      </c>
      <c r="C13" s="212">
        <v>112982</v>
      </c>
      <c r="D13" s="212">
        <v>554</v>
      </c>
      <c r="E13" s="212">
        <f aca="true" t="shared" si="9" ref="E13:T13">+D13*1.05</f>
        <v>581.7</v>
      </c>
      <c r="F13" s="212">
        <f t="shared" si="9"/>
        <v>610.7850000000001</v>
      </c>
      <c r="G13" s="213">
        <f t="shared" si="9"/>
        <v>641.3242500000001</v>
      </c>
      <c r="H13" s="214">
        <f t="shared" si="9"/>
        <v>673.3904625000001</v>
      </c>
      <c r="I13" s="215">
        <f t="shared" si="9"/>
        <v>707.0599856250002</v>
      </c>
      <c r="J13" s="215">
        <f t="shared" si="9"/>
        <v>742.4129849062502</v>
      </c>
      <c r="K13" s="215">
        <f t="shared" si="9"/>
        <v>779.5336341515628</v>
      </c>
      <c r="L13" s="215">
        <f t="shared" si="9"/>
        <v>818.510315859141</v>
      </c>
      <c r="M13" s="215">
        <f t="shared" si="9"/>
        <v>859.435831652098</v>
      </c>
      <c r="N13" s="215">
        <f t="shared" si="9"/>
        <v>902.407623234703</v>
      </c>
      <c r="O13" s="215">
        <f t="shared" si="9"/>
        <v>947.5280043964382</v>
      </c>
      <c r="P13" s="215">
        <f t="shared" si="9"/>
        <v>994.9044046162601</v>
      </c>
      <c r="Q13" s="215">
        <f t="shared" si="9"/>
        <v>1044.649624847073</v>
      </c>
      <c r="R13" s="215">
        <f t="shared" si="9"/>
        <v>1096.8821060894268</v>
      </c>
      <c r="S13" s="215">
        <f t="shared" si="9"/>
        <v>1151.7262113938982</v>
      </c>
      <c r="T13" s="215">
        <f t="shared" si="9"/>
        <v>1209.312521963593</v>
      </c>
    </row>
    <row r="14" spans="1:20" ht="13.5" thickBot="1">
      <c r="A14" s="216"/>
      <c r="B14" s="216" t="s">
        <v>88</v>
      </c>
      <c r="C14" s="217">
        <f aca="true" t="shared" si="10" ref="C14:T14">SUM(C4:C13)</f>
        <v>193888</v>
      </c>
      <c r="D14" s="217">
        <f t="shared" si="10"/>
        <v>95149</v>
      </c>
      <c r="E14" s="217">
        <f t="shared" si="10"/>
        <v>90939.84999999999</v>
      </c>
      <c r="F14" s="218">
        <f t="shared" si="10"/>
        <v>95486.84250000001</v>
      </c>
      <c r="G14" s="218">
        <f t="shared" si="10"/>
        <v>100261.18462500001</v>
      </c>
      <c r="H14" s="219">
        <f t="shared" si="10"/>
        <v>105274.24385625002</v>
      </c>
      <c r="I14" s="220">
        <f t="shared" si="10"/>
        <v>110537.9560490625</v>
      </c>
      <c r="J14" s="220">
        <f t="shared" si="10"/>
        <v>116064.85385151564</v>
      </c>
      <c r="K14" s="220">
        <f t="shared" si="10"/>
        <v>121868.09654409143</v>
      </c>
      <c r="L14" s="220">
        <f t="shared" si="10"/>
        <v>127961.501371296</v>
      </c>
      <c r="M14" s="220">
        <f t="shared" si="10"/>
        <v>134359.57643986083</v>
      </c>
      <c r="N14" s="220">
        <f t="shared" si="10"/>
        <v>141077.55526185385</v>
      </c>
      <c r="O14" s="220">
        <f t="shared" si="10"/>
        <v>148131.43302494657</v>
      </c>
      <c r="P14" s="220">
        <f t="shared" si="10"/>
        <v>155538.00467619387</v>
      </c>
      <c r="Q14" s="220">
        <f t="shared" si="10"/>
        <v>163314.9049100036</v>
      </c>
      <c r="R14" s="220">
        <f t="shared" si="10"/>
        <v>171480.6501555038</v>
      </c>
      <c r="S14" s="220">
        <f t="shared" si="10"/>
        <v>180054.68266327897</v>
      </c>
      <c r="T14" s="220">
        <f t="shared" si="10"/>
        <v>189057.41679644294</v>
      </c>
    </row>
    <row r="15" spans="1:20" ht="13.5" thickBot="1">
      <c r="A15" s="221"/>
      <c r="B15" s="222" t="s">
        <v>147</v>
      </c>
      <c r="C15" s="223">
        <f>+C14-941-111839</f>
        <v>81108</v>
      </c>
      <c r="D15" s="223">
        <f>+D14-553-11</f>
        <v>94585</v>
      </c>
      <c r="E15" s="223">
        <f aca="true" t="shared" si="11" ref="E15:T15">+E14</f>
        <v>90939.84999999999</v>
      </c>
      <c r="F15" s="224">
        <f t="shared" si="11"/>
        <v>95486.84250000001</v>
      </c>
      <c r="G15" s="224">
        <f t="shared" si="11"/>
        <v>100261.18462500001</v>
      </c>
      <c r="H15" s="225">
        <f t="shared" si="11"/>
        <v>105274.24385625002</v>
      </c>
      <c r="I15" s="226">
        <f t="shared" si="11"/>
        <v>110537.9560490625</v>
      </c>
      <c r="J15" s="226">
        <f t="shared" si="11"/>
        <v>116064.85385151564</v>
      </c>
      <c r="K15" s="226">
        <f t="shared" si="11"/>
        <v>121868.09654409143</v>
      </c>
      <c r="L15" s="226">
        <f t="shared" si="11"/>
        <v>127961.501371296</v>
      </c>
      <c r="M15" s="226">
        <f t="shared" si="11"/>
        <v>134359.57643986083</v>
      </c>
      <c r="N15" s="226">
        <f t="shared" si="11"/>
        <v>141077.55526185385</v>
      </c>
      <c r="O15" s="226">
        <f t="shared" si="11"/>
        <v>148131.43302494657</v>
      </c>
      <c r="P15" s="226">
        <f t="shared" si="11"/>
        <v>155538.00467619387</v>
      </c>
      <c r="Q15" s="226">
        <f t="shared" si="11"/>
        <v>163314.9049100036</v>
      </c>
      <c r="R15" s="226">
        <f t="shared" si="11"/>
        <v>171480.6501555038</v>
      </c>
      <c r="S15" s="226">
        <f t="shared" si="11"/>
        <v>180054.68266327897</v>
      </c>
      <c r="T15" s="226">
        <f t="shared" si="11"/>
        <v>189057.41679644294</v>
      </c>
    </row>
    <row r="16" spans="2:20" ht="17.25">
      <c r="B16" s="227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1:20" ht="18" thickBot="1">
      <c r="A17" s="227" t="s">
        <v>148</v>
      </c>
      <c r="B17" s="221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1:20" ht="13.5" thickBot="1">
      <c r="A18" s="198" t="s">
        <v>1</v>
      </c>
      <c r="B18" s="199" t="s">
        <v>2</v>
      </c>
      <c r="C18" s="200" t="s">
        <v>134</v>
      </c>
      <c r="D18" s="200" t="s">
        <v>135</v>
      </c>
      <c r="E18" s="200">
        <v>2008</v>
      </c>
      <c r="F18" s="201">
        <v>2009</v>
      </c>
      <c r="G18" s="201">
        <v>2010</v>
      </c>
      <c r="H18" s="202">
        <v>2011</v>
      </c>
      <c r="I18" s="203">
        <v>2012</v>
      </c>
      <c r="J18" s="203">
        <v>2013</v>
      </c>
      <c r="K18" s="203">
        <v>2014</v>
      </c>
      <c r="L18" s="203">
        <v>2015</v>
      </c>
      <c r="M18" s="203">
        <v>2016</v>
      </c>
      <c r="N18" s="203">
        <v>2017</v>
      </c>
      <c r="O18" s="203">
        <v>2018</v>
      </c>
      <c r="P18" s="203">
        <v>2019</v>
      </c>
      <c r="Q18" s="203">
        <v>2020</v>
      </c>
      <c r="R18" s="203">
        <v>2021</v>
      </c>
      <c r="S18" s="203">
        <v>2022</v>
      </c>
      <c r="T18" s="203">
        <v>2023</v>
      </c>
    </row>
    <row r="19" spans="1:20" ht="12.75">
      <c r="A19" s="10" t="s">
        <v>6</v>
      </c>
      <c r="B19" s="11" t="s">
        <v>136</v>
      </c>
      <c r="C19" s="229">
        <v>4523</v>
      </c>
      <c r="D19" s="229">
        <v>4785</v>
      </c>
      <c r="E19" s="229">
        <f aca="true" t="shared" si="12" ref="E19:T19">+D19*1.05</f>
        <v>5024.25</v>
      </c>
      <c r="F19" s="229">
        <f t="shared" si="12"/>
        <v>5275.462500000001</v>
      </c>
      <c r="G19" s="230">
        <f t="shared" si="12"/>
        <v>5539.235625000001</v>
      </c>
      <c r="H19" s="206">
        <f t="shared" si="12"/>
        <v>5816.197406250001</v>
      </c>
      <c r="I19" s="207">
        <f t="shared" si="12"/>
        <v>6107.007276562502</v>
      </c>
      <c r="J19" s="207">
        <f t="shared" si="12"/>
        <v>6412.357640390627</v>
      </c>
      <c r="K19" s="207">
        <f t="shared" si="12"/>
        <v>6732.975522410159</v>
      </c>
      <c r="L19" s="207">
        <f t="shared" si="12"/>
        <v>7069.624298530667</v>
      </c>
      <c r="M19" s="207">
        <f t="shared" si="12"/>
        <v>7423.105513457201</v>
      </c>
      <c r="N19" s="207">
        <f t="shared" si="12"/>
        <v>7794.260789130061</v>
      </c>
      <c r="O19" s="207">
        <f t="shared" si="12"/>
        <v>8183.973828586565</v>
      </c>
      <c r="P19" s="207">
        <f t="shared" si="12"/>
        <v>8593.172520015894</v>
      </c>
      <c r="Q19" s="207">
        <f t="shared" si="12"/>
        <v>9022.83114601669</v>
      </c>
      <c r="R19" s="207">
        <f t="shared" si="12"/>
        <v>9473.972703317524</v>
      </c>
      <c r="S19" s="207">
        <f t="shared" si="12"/>
        <v>9947.6713384834</v>
      </c>
      <c r="T19" s="207">
        <f t="shared" si="12"/>
        <v>10445.054905407571</v>
      </c>
    </row>
    <row r="20" spans="1:20" ht="12.75">
      <c r="A20" s="13" t="s">
        <v>8</v>
      </c>
      <c r="B20" s="14" t="s">
        <v>149</v>
      </c>
      <c r="C20" s="231">
        <v>24934</v>
      </c>
      <c r="D20" s="231">
        <v>27270</v>
      </c>
      <c r="E20" s="231">
        <f aca="true" t="shared" si="13" ref="E20:T20">+D20*1.05</f>
        <v>28633.5</v>
      </c>
      <c r="F20" s="231">
        <f t="shared" si="13"/>
        <v>30065.175000000003</v>
      </c>
      <c r="G20" s="232">
        <f t="shared" si="13"/>
        <v>31568.433750000004</v>
      </c>
      <c r="H20" s="210">
        <f t="shared" si="13"/>
        <v>33146.8554375</v>
      </c>
      <c r="I20" s="211">
        <f t="shared" si="13"/>
        <v>34804.198209375005</v>
      </c>
      <c r="J20" s="211">
        <f t="shared" si="13"/>
        <v>36544.408119843756</v>
      </c>
      <c r="K20" s="211">
        <f t="shared" si="13"/>
        <v>38371.62852583594</v>
      </c>
      <c r="L20" s="211">
        <f t="shared" si="13"/>
        <v>40290.20995212774</v>
      </c>
      <c r="M20" s="211">
        <f t="shared" si="13"/>
        <v>42304.72044973413</v>
      </c>
      <c r="N20" s="211">
        <f t="shared" si="13"/>
        <v>44419.95647222084</v>
      </c>
      <c r="O20" s="211">
        <f t="shared" si="13"/>
        <v>46640.954295831885</v>
      </c>
      <c r="P20" s="211">
        <f t="shared" si="13"/>
        <v>48973.00201062348</v>
      </c>
      <c r="Q20" s="211">
        <f t="shared" si="13"/>
        <v>51421.65211115465</v>
      </c>
      <c r="R20" s="211">
        <f t="shared" si="13"/>
        <v>53992.73471671239</v>
      </c>
      <c r="S20" s="211">
        <f t="shared" si="13"/>
        <v>56692.37145254801</v>
      </c>
      <c r="T20" s="211">
        <f t="shared" si="13"/>
        <v>59526.990025175415</v>
      </c>
    </row>
    <row r="21" spans="1:20" ht="12.75">
      <c r="A21" s="13" t="s">
        <v>13</v>
      </c>
      <c r="B21" s="14" t="s">
        <v>150</v>
      </c>
      <c r="C21" s="231">
        <v>2198</v>
      </c>
      <c r="D21" s="231">
        <v>2571</v>
      </c>
      <c r="E21" s="231">
        <f aca="true" t="shared" si="14" ref="E21:T21">+D21*1.05</f>
        <v>2699.55</v>
      </c>
      <c r="F21" s="231">
        <f t="shared" si="14"/>
        <v>2834.5275</v>
      </c>
      <c r="G21" s="232">
        <f t="shared" si="14"/>
        <v>2976.2538750000003</v>
      </c>
      <c r="H21" s="210">
        <f t="shared" si="14"/>
        <v>3125.0665687500004</v>
      </c>
      <c r="I21" s="211">
        <f t="shared" si="14"/>
        <v>3281.319897187501</v>
      </c>
      <c r="J21" s="211">
        <f t="shared" si="14"/>
        <v>3445.385892046876</v>
      </c>
      <c r="K21" s="211">
        <f t="shared" si="14"/>
        <v>3617.65518664922</v>
      </c>
      <c r="L21" s="211">
        <f t="shared" si="14"/>
        <v>3798.5379459816813</v>
      </c>
      <c r="M21" s="211">
        <f t="shared" si="14"/>
        <v>3988.4648432807658</v>
      </c>
      <c r="N21" s="211">
        <f t="shared" si="14"/>
        <v>4187.888085444804</v>
      </c>
      <c r="O21" s="211">
        <f t="shared" si="14"/>
        <v>4397.282489717045</v>
      </c>
      <c r="P21" s="211">
        <f t="shared" si="14"/>
        <v>4617.146614202898</v>
      </c>
      <c r="Q21" s="211">
        <f t="shared" si="14"/>
        <v>4848.003944913043</v>
      </c>
      <c r="R21" s="211">
        <f t="shared" si="14"/>
        <v>5090.404142158695</v>
      </c>
      <c r="S21" s="211">
        <f t="shared" si="14"/>
        <v>5344.92434926663</v>
      </c>
      <c r="T21" s="211">
        <f t="shared" si="14"/>
        <v>5612.170566729962</v>
      </c>
    </row>
    <row r="22" spans="1:20" ht="12.75">
      <c r="A22" s="13" t="s">
        <v>19</v>
      </c>
      <c r="B22" s="14" t="s">
        <v>151</v>
      </c>
      <c r="C22" s="233">
        <v>34605</v>
      </c>
      <c r="D22" s="231">
        <v>5015</v>
      </c>
      <c r="E22" s="231">
        <v>3000</v>
      </c>
      <c r="F22" s="231">
        <v>5000</v>
      </c>
      <c r="G22" s="232">
        <v>7000</v>
      </c>
      <c r="H22" s="210">
        <f aca="true" t="shared" si="15" ref="H22:T22">+G22*1.05</f>
        <v>7350</v>
      </c>
      <c r="I22" s="211">
        <f t="shared" si="15"/>
        <v>7717.5</v>
      </c>
      <c r="J22" s="211">
        <f t="shared" si="15"/>
        <v>8103.375</v>
      </c>
      <c r="K22" s="211">
        <f t="shared" si="15"/>
        <v>8508.54375</v>
      </c>
      <c r="L22" s="211">
        <f t="shared" si="15"/>
        <v>8933.970937500002</v>
      </c>
      <c r="M22" s="211">
        <f t="shared" si="15"/>
        <v>9380.669484375003</v>
      </c>
      <c r="N22" s="211">
        <f t="shared" si="15"/>
        <v>9849.702958593753</v>
      </c>
      <c r="O22" s="211">
        <f t="shared" si="15"/>
        <v>10342.188106523441</v>
      </c>
      <c r="P22" s="211">
        <f t="shared" si="15"/>
        <v>10859.297511849614</v>
      </c>
      <c r="Q22" s="211">
        <f t="shared" si="15"/>
        <v>11402.262387442095</v>
      </c>
      <c r="R22" s="211">
        <f t="shared" si="15"/>
        <v>11972.3755068142</v>
      </c>
      <c r="S22" s="211">
        <f t="shared" si="15"/>
        <v>12570.99428215491</v>
      </c>
      <c r="T22" s="211">
        <f t="shared" si="15"/>
        <v>13199.543996262657</v>
      </c>
    </row>
    <row r="23" spans="1:20" ht="12.75">
      <c r="A23" s="13" t="s">
        <v>29</v>
      </c>
      <c r="B23" s="14" t="s">
        <v>152</v>
      </c>
      <c r="C23" s="231">
        <v>8524</v>
      </c>
      <c r="D23" s="231">
        <v>8592</v>
      </c>
      <c r="E23" s="231">
        <f>+D23*1.05</f>
        <v>9021.6</v>
      </c>
      <c r="F23" s="231">
        <f>+E23*1.05</f>
        <v>9472.68</v>
      </c>
      <c r="G23" s="232">
        <f>+F23*1.05</f>
        <v>9946.314</v>
      </c>
      <c r="H23" s="210">
        <f aca="true" t="shared" si="16" ref="H23:T23">+G23*1.05</f>
        <v>10443.629700000001</v>
      </c>
      <c r="I23" s="211">
        <f t="shared" si="16"/>
        <v>10965.811185000002</v>
      </c>
      <c r="J23" s="211">
        <f t="shared" si="16"/>
        <v>11514.101744250003</v>
      </c>
      <c r="K23" s="211">
        <f t="shared" si="16"/>
        <v>12089.806831462503</v>
      </c>
      <c r="L23" s="211">
        <f t="shared" si="16"/>
        <v>12694.29717303563</v>
      </c>
      <c r="M23" s="211">
        <f t="shared" si="16"/>
        <v>13329.01203168741</v>
      </c>
      <c r="N23" s="211">
        <f t="shared" si="16"/>
        <v>13995.462633271782</v>
      </c>
      <c r="O23" s="211">
        <f t="shared" si="16"/>
        <v>14695.23576493537</v>
      </c>
      <c r="P23" s="211">
        <f t="shared" si="16"/>
        <v>15429.99755318214</v>
      </c>
      <c r="Q23" s="211">
        <f t="shared" si="16"/>
        <v>16201.497430841247</v>
      </c>
      <c r="R23" s="211">
        <f t="shared" si="16"/>
        <v>17011.57230238331</v>
      </c>
      <c r="S23" s="211">
        <f t="shared" si="16"/>
        <v>17862.150917502477</v>
      </c>
      <c r="T23" s="211">
        <f t="shared" si="16"/>
        <v>18755.258463377602</v>
      </c>
    </row>
    <row r="24" spans="1:20" ht="12.75">
      <c r="A24" s="13" t="s">
        <v>31</v>
      </c>
      <c r="B24" s="14" t="s">
        <v>153</v>
      </c>
      <c r="C24" s="231">
        <v>9215</v>
      </c>
      <c r="D24" s="231">
        <v>10177</v>
      </c>
      <c r="E24" s="231">
        <v>7000</v>
      </c>
      <c r="F24" s="231">
        <f aca="true" t="shared" si="17" ref="F24:G27">+E24*1.05</f>
        <v>7350</v>
      </c>
      <c r="G24" s="232">
        <f t="shared" si="17"/>
        <v>7717.5</v>
      </c>
      <c r="H24" s="210">
        <f aca="true" t="shared" si="18" ref="H24:T24">+G24*1.05</f>
        <v>8103.375</v>
      </c>
      <c r="I24" s="211">
        <f t="shared" si="18"/>
        <v>8508.54375</v>
      </c>
      <c r="J24" s="211">
        <f t="shared" si="18"/>
        <v>8933.970937500002</v>
      </c>
      <c r="K24" s="211">
        <f t="shared" si="18"/>
        <v>9380.669484375003</v>
      </c>
      <c r="L24" s="211">
        <f t="shared" si="18"/>
        <v>9849.702958593753</v>
      </c>
      <c r="M24" s="211">
        <f t="shared" si="18"/>
        <v>10342.188106523441</v>
      </c>
      <c r="N24" s="211">
        <f t="shared" si="18"/>
        <v>10859.297511849614</v>
      </c>
      <c r="O24" s="211">
        <f t="shared" si="18"/>
        <v>11402.262387442095</v>
      </c>
      <c r="P24" s="211">
        <f t="shared" si="18"/>
        <v>11972.3755068142</v>
      </c>
      <c r="Q24" s="211">
        <f t="shared" si="18"/>
        <v>12570.99428215491</v>
      </c>
      <c r="R24" s="211">
        <f t="shared" si="18"/>
        <v>13199.543996262657</v>
      </c>
      <c r="S24" s="211">
        <f t="shared" si="18"/>
        <v>13859.52119607579</v>
      </c>
      <c r="T24" s="211">
        <f t="shared" si="18"/>
        <v>14552.49725587958</v>
      </c>
    </row>
    <row r="25" spans="1:20" ht="12.75">
      <c r="A25" s="13" t="s">
        <v>36</v>
      </c>
      <c r="B25" s="14" t="s">
        <v>154</v>
      </c>
      <c r="C25" s="231">
        <v>7336</v>
      </c>
      <c r="D25" s="231">
        <v>25150</v>
      </c>
      <c r="E25" s="231">
        <f>+D25*1.05</f>
        <v>26407.5</v>
      </c>
      <c r="F25" s="231">
        <f t="shared" si="17"/>
        <v>27727.875</v>
      </c>
      <c r="G25" s="232">
        <f t="shared" si="17"/>
        <v>29114.268750000003</v>
      </c>
      <c r="H25" s="210">
        <f aca="true" t="shared" si="19" ref="H25:T25">+G25*1.05</f>
        <v>30569.982187500005</v>
      </c>
      <c r="I25" s="211">
        <f t="shared" si="19"/>
        <v>32098.48129687501</v>
      </c>
      <c r="J25" s="211">
        <f t="shared" si="19"/>
        <v>33703.40536171876</v>
      </c>
      <c r="K25" s="211">
        <f t="shared" si="19"/>
        <v>35388.5756298047</v>
      </c>
      <c r="L25" s="211">
        <f t="shared" si="19"/>
        <v>37158.00441129493</v>
      </c>
      <c r="M25" s="211">
        <f t="shared" si="19"/>
        <v>39015.90463185968</v>
      </c>
      <c r="N25" s="211">
        <f t="shared" si="19"/>
        <v>40966.69986345267</v>
      </c>
      <c r="O25" s="211">
        <f t="shared" si="19"/>
        <v>43015.0348566253</v>
      </c>
      <c r="P25" s="211">
        <f t="shared" si="19"/>
        <v>45165.786599456565</v>
      </c>
      <c r="Q25" s="211">
        <f t="shared" si="19"/>
        <v>47424.0759294294</v>
      </c>
      <c r="R25" s="211">
        <f t="shared" si="19"/>
        <v>49795.279725900866</v>
      </c>
      <c r="S25" s="211">
        <f t="shared" si="19"/>
        <v>52285.04371219591</v>
      </c>
      <c r="T25" s="211">
        <f t="shared" si="19"/>
        <v>54899.29589780571</v>
      </c>
    </row>
    <row r="26" spans="1:20" ht="12.75">
      <c r="A26" s="13" t="s">
        <v>38</v>
      </c>
      <c r="B26" s="14" t="s">
        <v>142</v>
      </c>
      <c r="C26" s="231">
        <v>1952</v>
      </c>
      <c r="D26" s="231">
        <v>1635</v>
      </c>
      <c r="E26" s="231">
        <f>+D26*1.05</f>
        <v>1716.75</v>
      </c>
      <c r="F26" s="231">
        <f t="shared" si="17"/>
        <v>1802.5875</v>
      </c>
      <c r="G26" s="232">
        <f t="shared" si="17"/>
        <v>1892.716875</v>
      </c>
      <c r="H26" s="210">
        <f aca="true" t="shared" si="20" ref="H26:T26">+G26*1.05</f>
        <v>1987.3527187500001</v>
      </c>
      <c r="I26" s="211">
        <f t="shared" si="20"/>
        <v>2086.7203546875003</v>
      </c>
      <c r="J26" s="211">
        <f t="shared" si="20"/>
        <v>2191.0563724218755</v>
      </c>
      <c r="K26" s="211">
        <f t="shared" si="20"/>
        <v>2300.6091910429695</v>
      </c>
      <c r="L26" s="211">
        <f t="shared" si="20"/>
        <v>2415.639650595118</v>
      </c>
      <c r="M26" s="211">
        <f t="shared" si="20"/>
        <v>2536.421633124874</v>
      </c>
      <c r="N26" s="211">
        <f t="shared" si="20"/>
        <v>2663.2427147811177</v>
      </c>
      <c r="O26" s="211">
        <f t="shared" si="20"/>
        <v>2796.4048505201736</v>
      </c>
      <c r="P26" s="211">
        <f t="shared" si="20"/>
        <v>2936.2250930461823</v>
      </c>
      <c r="Q26" s="211">
        <f t="shared" si="20"/>
        <v>3083.0363476984917</v>
      </c>
      <c r="R26" s="211">
        <f t="shared" si="20"/>
        <v>3237.1881650834166</v>
      </c>
      <c r="S26" s="211">
        <f t="shared" si="20"/>
        <v>3399.0475733375874</v>
      </c>
      <c r="T26" s="211">
        <f t="shared" si="20"/>
        <v>3568.999952004467</v>
      </c>
    </row>
    <row r="27" spans="1:20" ht="13.5" thickBot="1">
      <c r="A27" s="42" t="s">
        <v>39</v>
      </c>
      <c r="B27" s="22" t="s">
        <v>146</v>
      </c>
      <c r="C27" s="234">
        <v>113520</v>
      </c>
      <c r="D27" s="234">
        <v>554</v>
      </c>
      <c r="E27" s="234">
        <v>582</v>
      </c>
      <c r="F27" s="234">
        <f t="shared" si="17"/>
        <v>611.1</v>
      </c>
      <c r="G27" s="235">
        <f t="shared" si="17"/>
        <v>641.6550000000001</v>
      </c>
      <c r="H27" s="214">
        <f aca="true" t="shared" si="21" ref="H27:T27">+G27*1.05</f>
        <v>673.7377500000001</v>
      </c>
      <c r="I27" s="215">
        <f t="shared" si="21"/>
        <v>707.4246375000001</v>
      </c>
      <c r="J27" s="215">
        <f t="shared" si="21"/>
        <v>742.7958693750002</v>
      </c>
      <c r="K27" s="215">
        <f t="shared" si="21"/>
        <v>779.9356628437502</v>
      </c>
      <c r="L27" s="215">
        <f t="shared" si="21"/>
        <v>818.9324459859376</v>
      </c>
      <c r="M27" s="215">
        <f t="shared" si="21"/>
        <v>859.8790682852346</v>
      </c>
      <c r="N27" s="215">
        <f t="shared" si="21"/>
        <v>902.8730216994963</v>
      </c>
      <c r="O27" s="215">
        <f t="shared" si="21"/>
        <v>948.0166727844712</v>
      </c>
      <c r="P27" s="215">
        <f t="shared" si="21"/>
        <v>995.4175064236948</v>
      </c>
      <c r="Q27" s="215">
        <f t="shared" si="21"/>
        <v>1045.1883817448795</v>
      </c>
      <c r="R27" s="215">
        <f t="shared" si="21"/>
        <v>1097.4478008321234</v>
      </c>
      <c r="S27" s="215">
        <f t="shared" si="21"/>
        <v>1152.3201908737296</v>
      </c>
      <c r="T27" s="215">
        <f t="shared" si="21"/>
        <v>1209.936200417416</v>
      </c>
    </row>
    <row r="28" spans="1:20" ht="13.5" thickBot="1">
      <c r="A28" s="216"/>
      <c r="B28" s="236" t="s">
        <v>88</v>
      </c>
      <c r="C28" s="237">
        <f aca="true" t="shared" si="22" ref="C28:T28">SUM(C19:C27)</f>
        <v>206807</v>
      </c>
      <c r="D28" s="237">
        <f t="shared" si="22"/>
        <v>85749</v>
      </c>
      <c r="E28" s="237">
        <f t="shared" si="22"/>
        <v>84085.15</v>
      </c>
      <c r="F28" s="238">
        <f t="shared" si="22"/>
        <v>90139.4075</v>
      </c>
      <c r="G28" s="238">
        <f t="shared" si="22"/>
        <v>96396.377875</v>
      </c>
      <c r="H28" s="219">
        <f t="shared" si="22"/>
        <v>101216.19676875001</v>
      </c>
      <c r="I28" s="220">
        <f t="shared" si="22"/>
        <v>106277.0066071875</v>
      </c>
      <c r="J28" s="220">
        <f t="shared" si="22"/>
        <v>111590.8569375469</v>
      </c>
      <c r="K28" s="220">
        <f t="shared" si="22"/>
        <v>117170.39978442424</v>
      </c>
      <c r="L28" s="220">
        <f t="shared" si="22"/>
        <v>123028.91977364547</v>
      </c>
      <c r="M28" s="220">
        <f t="shared" si="22"/>
        <v>129180.36576232775</v>
      </c>
      <c r="N28" s="220">
        <f t="shared" si="22"/>
        <v>135639.38405044412</v>
      </c>
      <c r="O28" s="220">
        <f t="shared" si="22"/>
        <v>142421.35325296634</v>
      </c>
      <c r="P28" s="220">
        <f t="shared" si="22"/>
        <v>149542.42091561464</v>
      </c>
      <c r="Q28" s="220">
        <f t="shared" si="22"/>
        <v>157019.54196139539</v>
      </c>
      <c r="R28" s="220">
        <f t="shared" si="22"/>
        <v>164870.51905946518</v>
      </c>
      <c r="S28" s="220">
        <f t="shared" si="22"/>
        <v>173114.04501243844</v>
      </c>
      <c r="T28" s="220">
        <f t="shared" si="22"/>
        <v>181769.74726306036</v>
      </c>
    </row>
    <row r="29" spans="1:20" ht="13.5" thickBot="1">
      <c r="A29" s="239"/>
      <c r="B29" s="57" t="s">
        <v>147</v>
      </c>
      <c r="C29" s="240">
        <f>+C28-941-111839</f>
        <v>94027</v>
      </c>
      <c r="D29" s="240">
        <f>+D28-553-11</f>
        <v>85185</v>
      </c>
      <c r="E29" s="240">
        <f aca="true" t="shared" si="23" ref="E29:T29">+E28</f>
        <v>84085.15</v>
      </c>
      <c r="F29" s="241">
        <f t="shared" si="23"/>
        <v>90139.4075</v>
      </c>
      <c r="G29" s="241">
        <f t="shared" si="23"/>
        <v>96396.377875</v>
      </c>
      <c r="H29" s="241">
        <f t="shared" si="23"/>
        <v>101216.19676875001</v>
      </c>
      <c r="I29" s="242">
        <f t="shared" si="23"/>
        <v>106277.0066071875</v>
      </c>
      <c r="J29" s="242">
        <f t="shared" si="23"/>
        <v>111590.8569375469</v>
      </c>
      <c r="K29" s="242">
        <f t="shared" si="23"/>
        <v>117170.39978442424</v>
      </c>
      <c r="L29" s="242">
        <f t="shared" si="23"/>
        <v>123028.91977364547</v>
      </c>
      <c r="M29" s="242">
        <f t="shared" si="23"/>
        <v>129180.36576232775</v>
      </c>
      <c r="N29" s="242">
        <f t="shared" si="23"/>
        <v>135639.38405044412</v>
      </c>
      <c r="O29" s="242">
        <f t="shared" si="23"/>
        <v>142421.35325296634</v>
      </c>
      <c r="P29" s="242">
        <f t="shared" si="23"/>
        <v>149542.42091561464</v>
      </c>
      <c r="Q29" s="242">
        <f t="shared" si="23"/>
        <v>157019.54196139539</v>
      </c>
      <c r="R29" s="242">
        <f t="shared" si="23"/>
        <v>164870.51905946518</v>
      </c>
      <c r="S29" s="242">
        <f t="shared" si="23"/>
        <v>173114.04501243844</v>
      </c>
      <c r="T29" s="242">
        <f t="shared" si="23"/>
        <v>181769.74726306036</v>
      </c>
    </row>
    <row r="31" spans="2:5" ht="12.75">
      <c r="B31" s="243"/>
      <c r="C31" s="244"/>
      <c r="D31" s="244"/>
      <c r="E31" s="244"/>
    </row>
    <row r="53" spans="2:5" ht="17.25">
      <c r="B53" s="285" t="s">
        <v>155</v>
      </c>
      <c r="C53" s="285"/>
      <c r="D53" s="285"/>
      <c r="E53" s="285"/>
    </row>
    <row r="54" spans="2:5" ht="18" thickBot="1">
      <c r="B54" s="245"/>
      <c r="C54" s="245"/>
      <c r="D54" s="245"/>
      <c r="E54" s="245"/>
    </row>
    <row r="55" spans="2:20" ht="13.5" thickBot="1">
      <c r="B55" s="246" t="s">
        <v>156</v>
      </c>
      <c r="C55" s="247" t="s">
        <v>134</v>
      </c>
      <c r="D55" s="247" t="s">
        <v>135</v>
      </c>
      <c r="E55" s="247">
        <v>2008</v>
      </c>
      <c r="F55" s="248">
        <v>2009</v>
      </c>
      <c r="G55" s="248">
        <v>2010</v>
      </c>
      <c r="H55" s="248">
        <v>2011</v>
      </c>
      <c r="I55" s="248">
        <v>2012</v>
      </c>
      <c r="J55" s="248">
        <v>2013</v>
      </c>
      <c r="K55" s="248">
        <v>2014</v>
      </c>
      <c r="L55" s="248">
        <v>2015</v>
      </c>
      <c r="M55" s="248">
        <v>2016</v>
      </c>
      <c r="N55" s="248">
        <v>2017</v>
      </c>
      <c r="O55" s="248">
        <v>2018</v>
      </c>
      <c r="P55" s="248">
        <v>2019</v>
      </c>
      <c r="Q55" s="248">
        <v>2020</v>
      </c>
      <c r="R55" s="248">
        <v>2021</v>
      </c>
      <c r="S55" s="248">
        <v>2022</v>
      </c>
      <c r="T55" s="248">
        <v>2023</v>
      </c>
    </row>
    <row r="56" spans="2:20" ht="13.5" thickBot="1">
      <c r="B56" s="243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</row>
    <row r="57" spans="2:20" ht="12.75">
      <c r="B57" s="10" t="s">
        <v>157</v>
      </c>
      <c r="C57" s="250">
        <f aca="true" t="shared" si="24" ref="C57:T57">+C15</f>
        <v>81108</v>
      </c>
      <c r="D57" s="250">
        <f t="shared" si="24"/>
        <v>94585</v>
      </c>
      <c r="E57" s="250">
        <f t="shared" si="24"/>
        <v>90939.84999999999</v>
      </c>
      <c r="F57" s="250">
        <f t="shared" si="24"/>
        <v>95486.84250000001</v>
      </c>
      <c r="G57" s="251">
        <f t="shared" si="24"/>
        <v>100261.18462500001</v>
      </c>
      <c r="H57" s="252">
        <f t="shared" si="24"/>
        <v>105274.24385625002</v>
      </c>
      <c r="I57" s="251">
        <f t="shared" si="24"/>
        <v>110537.9560490625</v>
      </c>
      <c r="J57" s="251">
        <f t="shared" si="24"/>
        <v>116064.85385151564</v>
      </c>
      <c r="K57" s="251">
        <f t="shared" si="24"/>
        <v>121868.09654409143</v>
      </c>
      <c r="L57" s="251">
        <f t="shared" si="24"/>
        <v>127961.501371296</v>
      </c>
      <c r="M57" s="251">
        <f t="shared" si="24"/>
        <v>134359.57643986083</v>
      </c>
      <c r="N57" s="251">
        <f t="shared" si="24"/>
        <v>141077.55526185385</v>
      </c>
      <c r="O57" s="251">
        <f t="shared" si="24"/>
        <v>148131.43302494657</v>
      </c>
      <c r="P57" s="251">
        <f t="shared" si="24"/>
        <v>155538.00467619387</v>
      </c>
      <c r="Q57" s="251">
        <f t="shared" si="24"/>
        <v>163314.9049100036</v>
      </c>
      <c r="R57" s="251">
        <f t="shared" si="24"/>
        <v>171480.6501555038</v>
      </c>
      <c r="S57" s="251">
        <f t="shared" si="24"/>
        <v>180054.68266327897</v>
      </c>
      <c r="T57" s="251">
        <f t="shared" si="24"/>
        <v>189057.41679644294</v>
      </c>
    </row>
    <row r="58" spans="2:20" ht="13.5" thickBot="1">
      <c r="B58" s="21" t="s">
        <v>158</v>
      </c>
      <c r="C58" s="253">
        <f aca="true" t="shared" si="25" ref="C58:T58">+C29</f>
        <v>94027</v>
      </c>
      <c r="D58" s="253">
        <f t="shared" si="25"/>
        <v>85185</v>
      </c>
      <c r="E58" s="253">
        <f t="shared" si="25"/>
        <v>84085.15</v>
      </c>
      <c r="F58" s="253">
        <f t="shared" si="25"/>
        <v>90139.4075</v>
      </c>
      <c r="G58" s="254">
        <f t="shared" si="25"/>
        <v>96396.377875</v>
      </c>
      <c r="H58" s="255">
        <f t="shared" si="25"/>
        <v>101216.19676875001</v>
      </c>
      <c r="I58" s="256">
        <f t="shared" si="25"/>
        <v>106277.0066071875</v>
      </c>
      <c r="J58" s="256">
        <f t="shared" si="25"/>
        <v>111590.8569375469</v>
      </c>
      <c r="K58" s="256">
        <f t="shared" si="25"/>
        <v>117170.39978442424</v>
      </c>
      <c r="L58" s="256">
        <f t="shared" si="25"/>
        <v>123028.91977364547</v>
      </c>
      <c r="M58" s="256">
        <f t="shared" si="25"/>
        <v>129180.36576232775</v>
      </c>
      <c r="N58" s="256">
        <f t="shared" si="25"/>
        <v>135639.38405044412</v>
      </c>
      <c r="O58" s="256">
        <f t="shared" si="25"/>
        <v>142421.35325296634</v>
      </c>
      <c r="P58" s="256">
        <f t="shared" si="25"/>
        <v>149542.42091561464</v>
      </c>
      <c r="Q58" s="256">
        <f t="shared" si="25"/>
        <v>157019.54196139539</v>
      </c>
      <c r="R58" s="256">
        <f t="shared" si="25"/>
        <v>164870.51905946518</v>
      </c>
      <c r="S58" s="256">
        <f t="shared" si="25"/>
        <v>173114.04501243844</v>
      </c>
      <c r="T58" s="256">
        <f t="shared" si="25"/>
        <v>181769.74726306036</v>
      </c>
    </row>
    <row r="59" spans="2:20" ht="13.5" thickBot="1">
      <c r="B59" s="216" t="s">
        <v>159</v>
      </c>
      <c r="C59" s="257">
        <f aca="true" t="shared" si="26" ref="C59:T59">+C57-C58</f>
        <v>-12919</v>
      </c>
      <c r="D59" s="257">
        <f t="shared" si="26"/>
        <v>9400</v>
      </c>
      <c r="E59" s="257">
        <f t="shared" si="26"/>
        <v>6854.699999999997</v>
      </c>
      <c r="F59" s="258">
        <f t="shared" si="26"/>
        <v>5347.435000000012</v>
      </c>
      <c r="G59" s="258">
        <f t="shared" si="26"/>
        <v>3864.8067500000034</v>
      </c>
      <c r="H59" s="259">
        <f t="shared" si="26"/>
        <v>4058.047087500003</v>
      </c>
      <c r="I59" s="259">
        <f t="shared" si="26"/>
        <v>4260.949441874996</v>
      </c>
      <c r="J59" s="259">
        <f t="shared" si="26"/>
        <v>4473.9969139687455</v>
      </c>
      <c r="K59" s="259">
        <f t="shared" si="26"/>
        <v>4697.696759667189</v>
      </c>
      <c r="L59" s="259">
        <f t="shared" si="26"/>
        <v>4932.58159765054</v>
      </c>
      <c r="M59" s="259">
        <f t="shared" si="26"/>
        <v>5179.210677533076</v>
      </c>
      <c r="N59" s="259">
        <f t="shared" si="26"/>
        <v>5438.171211409732</v>
      </c>
      <c r="O59" s="259">
        <f t="shared" si="26"/>
        <v>5710.079771980236</v>
      </c>
      <c r="P59" s="259">
        <f t="shared" si="26"/>
        <v>5995.583760579233</v>
      </c>
      <c r="Q59" s="259">
        <f t="shared" si="26"/>
        <v>6295.362948608206</v>
      </c>
      <c r="R59" s="259">
        <f t="shared" si="26"/>
        <v>6610.131096038618</v>
      </c>
      <c r="S59" s="259">
        <f t="shared" si="26"/>
        <v>6940.637650840537</v>
      </c>
      <c r="T59" s="259">
        <f t="shared" si="26"/>
        <v>7287.669533382577</v>
      </c>
    </row>
    <row r="60" spans="2:20" ht="13.5" thickBot="1">
      <c r="B60" s="243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</row>
    <row r="61" spans="2:20" ht="12.75">
      <c r="B61" s="261" t="s">
        <v>160</v>
      </c>
      <c r="C61" s="262">
        <f>5769+3000+7000</f>
        <v>15769</v>
      </c>
      <c r="D61" s="262">
        <f>1000+546</f>
        <v>1546</v>
      </c>
      <c r="E61" s="262"/>
      <c r="F61" s="262"/>
      <c r="G61" s="263"/>
      <c r="H61" s="264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</row>
    <row r="62" spans="2:20" ht="12.75">
      <c r="B62" s="72" t="s">
        <v>87</v>
      </c>
      <c r="C62" s="265">
        <v>-7080</v>
      </c>
      <c r="D62" s="265">
        <f>-217-1400-608-2233-3000-1400-1115-546</f>
        <v>-10519</v>
      </c>
      <c r="E62" s="265">
        <f>-226-1400-608-2326-1400-1000</f>
        <v>-6960</v>
      </c>
      <c r="F62" s="265">
        <f>-237-608-2423-1400</f>
        <v>-4668</v>
      </c>
      <c r="G62" s="60">
        <f>-248-608-1400</f>
        <v>-2256</v>
      </c>
      <c r="H62" s="266">
        <f>-260-608-1400</f>
        <v>-2268</v>
      </c>
      <c r="I62" s="60">
        <f>-272-606</f>
        <v>-878</v>
      </c>
      <c r="J62" s="60">
        <v>-285</v>
      </c>
      <c r="K62" s="60">
        <v>-298</v>
      </c>
      <c r="L62" s="60">
        <v>-312</v>
      </c>
      <c r="M62" s="60">
        <v>-326</v>
      </c>
      <c r="N62" s="60">
        <v>-342</v>
      </c>
      <c r="O62" s="60">
        <v>-358</v>
      </c>
      <c r="P62" s="60">
        <v>-374</v>
      </c>
      <c r="Q62" s="60">
        <v>-391</v>
      </c>
      <c r="R62" s="60">
        <v>-410</v>
      </c>
      <c r="S62" s="60">
        <v>-429</v>
      </c>
      <c r="T62" s="60">
        <v>-184</v>
      </c>
    </row>
    <row r="63" spans="2:20" ht="13.5" thickBot="1">
      <c r="B63" s="267" t="s">
        <v>161</v>
      </c>
      <c r="C63" s="268">
        <v>4230</v>
      </c>
      <c r="D63" s="268">
        <v>-427</v>
      </c>
      <c r="E63" s="268">
        <v>105</v>
      </c>
      <c r="F63" s="268">
        <v>-679</v>
      </c>
      <c r="G63" s="269">
        <v>-1609</v>
      </c>
      <c r="H63" s="270">
        <v>-1790</v>
      </c>
      <c r="I63" s="269">
        <v>-3383</v>
      </c>
      <c r="J63" s="269">
        <v>-464</v>
      </c>
      <c r="K63" s="269">
        <v>-463</v>
      </c>
      <c r="L63" s="269">
        <v>-462</v>
      </c>
      <c r="M63" s="269">
        <v>-461</v>
      </c>
      <c r="N63" s="269">
        <v>-460</v>
      </c>
      <c r="O63" s="269">
        <v>-459</v>
      </c>
      <c r="P63" s="269">
        <v>-458</v>
      </c>
      <c r="Q63" s="269">
        <v>-457</v>
      </c>
      <c r="R63" s="269">
        <v>-456</v>
      </c>
      <c r="S63" s="269">
        <v>-455</v>
      </c>
      <c r="T63" s="269">
        <v>-454</v>
      </c>
    </row>
    <row r="64" spans="2:20" ht="13.5" thickBot="1">
      <c r="B64" s="216" t="s">
        <v>162</v>
      </c>
      <c r="C64" s="271">
        <f aca="true" t="shared" si="27" ref="C64:T64">SUM(C61:C63)</f>
        <v>12919</v>
      </c>
      <c r="D64" s="271">
        <f t="shared" si="27"/>
        <v>-9400</v>
      </c>
      <c r="E64" s="271">
        <f t="shared" si="27"/>
        <v>-6855</v>
      </c>
      <c r="F64" s="272">
        <f t="shared" si="27"/>
        <v>-5347</v>
      </c>
      <c r="G64" s="272">
        <f t="shared" si="27"/>
        <v>-3865</v>
      </c>
      <c r="H64" s="273">
        <f t="shared" si="27"/>
        <v>-4058</v>
      </c>
      <c r="I64" s="273">
        <f t="shared" si="27"/>
        <v>-4261</v>
      </c>
      <c r="J64" s="273">
        <f t="shared" si="27"/>
        <v>-749</v>
      </c>
      <c r="K64" s="273">
        <f t="shared" si="27"/>
        <v>-761</v>
      </c>
      <c r="L64" s="273">
        <f t="shared" si="27"/>
        <v>-774</v>
      </c>
      <c r="M64" s="273">
        <f t="shared" si="27"/>
        <v>-787</v>
      </c>
      <c r="N64" s="273">
        <f t="shared" si="27"/>
        <v>-802</v>
      </c>
      <c r="O64" s="273">
        <f t="shared" si="27"/>
        <v>-817</v>
      </c>
      <c r="P64" s="273">
        <f t="shared" si="27"/>
        <v>-832</v>
      </c>
      <c r="Q64" s="273">
        <f t="shared" si="27"/>
        <v>-848</v>
      </c>
      <c r="R64" s="273">
        <f t="shared" si="27"/>
        <v>-866</v>
      </c>
      <c r="S64" s="273">
        <f t="shared" si="27"/>
        <v>-884</v>
      </c>
      <c r="T64" s="273">
        <f t="shared" si="27"/>
        <v>-638</v>
      </c>
    </row>
    <row r="65" spans="2:20" ht="13.5" thickBot="1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2:20" ht="13.5" thickBot="1">
      <c r="B66" s="246" t="s">
        <v>163</v>
      </c>
      <c r="C66" s="274">
        <f>617+94</f>
        <v>711</v>
      </c>
      <c r="D66" s="274">
        <f aca="true" t="shared" si="28" ref="D66:T66">C66-D63</f>
        <v>1138</v>
      </c>
      <c r="E66" s="274">
        <f t="shared" si="28"/>
        <v>1033</v>
      </c>
      <c r="F66" s="259">
        <f t="shared" si="28"/>
        <v>1712</v>
      </c>
      <c r="G66" s="259">
        <f t="shared" si="28"/>
        <v>3321</v>
      </c>
      <c r="H66" s="259">
        <f t="shared" si="28"/>
        <v>5111</v>
      </c>
      <c r="I66" s="259">
        <f t="shared" si="28"/>
        <v>8494</v>
      </c>
      <c r="J66" s="259">
        <f t="shared" si="28"/>
        <v>8958</v>
      </c>
      <c r="K66" s="259">
        <f t="shared" si="28"/>
        <v>9421</v>
      </c>
      <c r="L66" s="259">
        <f t="shared" si="28"/>
        <v>9883</v>
      </c>
      <c r="M66" s="259">
        <f t="shared" si="28"/>
        <v>10344</v>
      </c>
      <c r="N66" s="259">
        <f t="shared" si="28"/>
        <v>10804</v>
      </c>
      <c r="O66" s="259">
        <f t="shared" si="28"/>
        <v>11263</v>
      </c>
      <c r="P66" s="259">
        <f t="shared" si="28"/>
        <v>11721</v>
      </c>
      <c r="Q66" s="259">
        <f t="shared" si="28"/>
        <v>12178</v>
      </c>
      <c r="R66" s="259">
        <f t="shared" si="28"/>
        <v>12634</v>
      </c>
      <c r="S66" s="259">
        <f t="shared" si="28"/>
        <v>13089</v>
      </c>
      <c r="T66" s="259">
        <f t="shared" si="28"/>
        <v>13543</v>
      </c>
    </row>
    <row r="67" spans="2:20" ht="13.5" thickBo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2:20" ht="13.5" thickBot="1">
      <c r="B68" s="246" t="s">
        <v>164</v>
      </c>
      <c r="C68" s="275">
        <v>-0.134</v>
      </c>
      <c r="D68" s="275">
        <v>-0.211</v>
      </c>
      <c r="E68" s="275">
        <f>(+E62-1000)/(E57-E8-25000)</f>
        <v>-0.12449200303097366</v>
      </c>
      <c r="F68" s="275">
        <f>(+F62-900)/(F57-F8-26000)</f>
        <v>-0.0826274060845038</v>
      </c>
      <c r="G68" s="275">
        <f>(+G62-800)/(G57-G8-27000)</f>
        <v>-0.04300821970850366</v>
      </c>
      <c r="H68" s="275">
        <f>(+H62-700)/(H57-H8-28000)</f>
        <v>-0.03959498183355793</v>
      </c>
      <c r="I68" s="275">
        <f>(+I62-400)/(I57-I8-30000)</f>
        <v>-0.016362181669510988</v>
      </c>
      <c r="J68" s="275">
        <f aca="true" t="shared" si="29" ref="J68:T68">(+J62-50)/(J57-J8-10000)</f>
        <v>-0.003236330658405443</v>
      </c>
      <c r="K68" s="275">
        <f t="shared" si="29"/>
        <v>-0.00318716618990245</v>
      </c>
      <c r="L68" s="275">
        <f t="shared" si="29"/>
        <v>-0.003143799275766027</v>
      </c>
      <c r="M68" s="275">
        <f t="shared" si="29"/>
        <v>-0.0030970803163909402</v>
      </c>
      <c r="N68" s="275">
        <f t="shared" si="29"/>
        <v>-0.0030631006829006614</v>
      </c>
      <c r="O68" s="275">
        <f t="shared" si="29"/>
        <v>-0.0030250535878718634</v>
      </c>
      <c r="P68" s="275">
        <f t="shared" si="29"/>
        <v>-0.00298345044938049</v>
      </c>
      <c r="Q68" s="275">
        <f t="shared" si="29"/>
        <v>-0.002945435462264239</v>
      </c>
      <c r="R68" s="275">
        <f t="shared" si="29"/>
        <v>-0.002916757912851471</v>
      </c>
      <c r="S68" s="275">
        <f t="shared" si="29"/>
        <v>-0.0028838948833239566</v>
      </c>
      <c r="T68" s="275">
        <f t="shared" si="29"/>
        <v>-0.0013379107381087936</v>
      </c>
    </row>
    <row r="69" spans="5:20" ht="13.5" thickBot="1">
      <c r="E69" t="s">
        <v>165</v>
      </c>
      <c r="F69" t="s">
        <v>165</v>
      </c>
      <c r="G69" t="s">
        <v>165</v>
      </c>
      <c r="H69" t="s">
        <v>165</v>
      </c>
      <c r="I69" t="s">
        <v>165</v>
      </c>
      <c r="J69" t="s">
        <v>165</v>
      </c>
      <c r="K69" t="s">
        <v>165</v>
      </c>
      <c r="L69" t="s">
        <v>165</v>
      </c>
      <c r="M69" t="s">
        <v>165</v>
      </c>
      <c r="N69" t="s">
        <v>165</v>
      </c>
      <c r="O69" t="s">
        <v>165</v>
      </c>
      <c r="P69" t="s">
        <v>165</v>
      </c>
      <c r="Q69" t="s">
        <v>165</v>
      </c>
      <c r="R69" t="s">
        <v>165</v>
      </c>
      <c r="S69" t="s">
        <v>165</v>
      </c>
      <c r="T69" t="s">
        <v>165</v>
      </c>
    </row>
    <row r="70" spans="2:20" ht="13.5" thickBot="1">
      <c r="B70" s="276" t="s">
        <v>166</v>
      </c>
      <c r="C70" s="277">
        <f>25597+3000+1115</f>
        <v>29712</v>
      </c>
      <c r="D70" s="277">
        <f aca="true" t="shared" si="30" ref="D70:T70">+C70+D61+D62</f>
        <v>20739</v>
      </c>
      <c r="E70" s="277">
        <f t="shared" si="30"/>
        <v>13779</v>
      </c>
      <c r="F70" s="277">
        <f t="shared" si="30"/>
        <v>9111</v>
      </c>
      <c r="G70" s="277">
        <f t="shared" si="30"/>
        <v>6855</v>
      </c>
      <c r="H70" s="277">
        <f t="shared" si="30"/>
        <v>4587</v>
      </c>
      <c r="I70" s="277">
        <f t="shared" si="30"/>
        <v>3709</v>
      </c>
      <c r="J70" s="277">
        <f t="shared" si="30"/>
        <v>3424</v>
      </c>
      <c r="K70" s="277">
        <f t="shared" si="30"/>
        <v>3126</v>
      </c>
      <c r="L70" s="277">
        <f t="shared" si="30"/>
        <v>2814</v>
      </c>
      <c r="M70" s="277">
        <f t="shared" si="30"/>
        <v>2488</v>
      </c>
      <c r="N70" s="277">
        <f t="shared" si="30"/>
        <v>2146</v>
      </c>
      <c r="O70" s="277">
        <f t="shared" si="30"/>
        <v>1788</v>
      </c>
      <c r="P70" s="277">
        <f t="shared" si="30"/>
        <v>1414</v>
      </c>
      <c r="Q70" s="277">
        <f t="shared" si="30"/>
        <v>1023</v>
      </c>
      <c r="R70" s="277">
        <f t="shared" si="30"/>
        <v>613</v>
      </c>
      <c r="S70" s="277">
        <f t="shared" si="30"/>
        <v>184</v>
      </c>
      <c r="T70" s="277">
        <f t="shared" si="30"/>
        <v>0</v>
      </c>
    </row>
    <row r="71" ht="12.75">
      <c r="B71" t="s">
        <v>167</v>
      </c>
    </row>
    <row r="72" ht="12.75">
      <c r="C72" s="278"/>
    </row>
  </sheetData>
  <mergeCells count="1">
    <mergeCell ref="B53:E53"/>
  </mergeCells>
  <printOptions/>
  <pageMargins left="0.64" right="0.46" top="1" bottom="0.89" header="0.4921259845" footer="0.4921259845"/>
  <pageSetup horizontalDpi="600" verticalDpi="600" orientation="portrait" paperSize="9" scale="105" r:id="rId2"/>
  <headerFooter alignWithMargins="0">
    <oddHeader>&amp;C&amp;"Arial CE,Tučná kurzíva"&amp;14Rozpočtový výhled 2007-2011 schválený ZM dne 19.12.2007
</oddHeader>
    <oddFooter>&amp;Lvyvěšeno: 20.12.2007
sejmuto:&amp;Rsestavil Ing.Michal Hodek</oddFooter>
  </headerFooter>
  <rowBreaks count="1" manualBreakCount="1">
    <brk id="5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hodekm</cp:lastModifiedBy>
  <cp:lastPrinted>2008-01-31T09:50:39Z</cp:lastPrinted>
  <dcterms:created xsi:type="dcterms:W3CDTF">2006-01-10T12:53:12Z</dcterms:created>
  <dcterms:modified xsi:type="dcterms:W3CDTF">2008-01-31T09:51:00Z</dcterms:modified>
  <cp:category/>
  <cp:version/>
  <cp:contentType/>
  <cp:contentStatus/>
</cp:coreProperties>
</file>