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255" activeTab="1"/>
  </bookViews>
  <sheets>
    <sheet name="Příjmy_Výdaje" sheetId="1" r:id="rId1"/>
    <sheet name="výhled 2013_16" sheetId="2" r:id="rId2"/>
  </sheets>
  <definedNames>
    <definedName name="_xlnm.Print_Area" localSheetId="0">'Příjmy_Výdaje'!$A$1:$P$136</definedName>
    <definedName name="_xlnm.Print_Area" localSheetId="1">'výhled 2013_16'!$A$1:$G$92</definedName>
  </definedNames>
  <calcPr fullCalcOnLoad="1"/>
</workbook>
</file>

<file path=xl/sharedStrings.xml><?xml version="1.0" encoding="utf-8"?>
<sst xmlns="http://schemas.openxmlformats.org/spreadsheetml/2006/main" count="334" uniqueCount="216">
  <si>
    <t xml:space="preserve">Příjmy - tis.Kč </t>
  </si>
  <si>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</si>
  <si>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</si>
  <si>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</si>
  <si>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</si>
  <si>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</si>
  <si>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</si>
  <si>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</si>
  <si>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</si>
  <si>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vzdělávání eGON (OPLZZ)</t>
  </si>
  <si>
    <t>knihovna - PK</t>
  </si>
  <si>
    <t>dotace z UP na mzdy</t>
  </si>
  <si>
    <t>státní správa lesů</t>
  </si>
  <si>
    <t>vzdělávací program ZŠ (EU)</t>
  </si>
  <si>
    <t xml:space="preserve">ostatní 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</si>
  <si>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</si>
  <si>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</si>
  <si>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</si>
  <si>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</si>
  <si>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</si>
  <si>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</si>
  <si>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</si>
  <si>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</si>
  <si>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</si>
  <si>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</si>
  <si>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</si>
  <si>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</si>
  <si>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ostatní správní popl.</t>
  </si>
  <si>
    <t xml:space="preserve">VHP </t>
  </si>
  <si>
    <t>VHP</t>
  </si>
  <si>
    <t>Popl.místní</t>
  </si>
  <si>
    <t>ze psů</t>
  </si>
  <si>
    <t>z veřejného pr.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</si>
  <si>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</si>
  <si>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</si>
  <si>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</si>
  <si>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</si>
  <si>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</si>
  <si>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</si>
  <si>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prodeje pozemků</t>
  </si>
  <si>
    <t>(prodeje)</t>
  </si>
  <si>
    <t>prodeje pozemků Hradiště II</t>
  </si>
  <si>
    <t>prodeje staveb</t>
  </si>
  <si>
    <t>převod od byt.družstva Am.</t>
  </si>
  <si>
    <t>V.</t>
  </si>
  <si>
    <t>NÁJMY</t>
  </si>
  <si>
    <t>nebyt. prostory (KB)</t>
  </si>
  <si>
    <t>ost.nebyt.prostory, pozemky</t>
  </si>
  <si>
    <t>kotelny (TEBYT BTZ)</t>
  </si>
  <si>
    <t>nájem vodovodů a kanal. (ČEVAK)</t>
  </si>
  <si>
    <t>VI.</t>
  </si>
  <si>
    <t>LESY</t>
  </si>
  <si>
    <t>VII.</t>
  </si>
  <si>
    <t>BYT.HOSP - převod</t>
  </si>
  <si>
    <t>VIII.</t>
  </si>
  <si>
    <t>ZVL.PŘÍJMY</t>
  </si>
  <si>
    <t>provoz městs.busu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</si>
  <si>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</si>
  <si>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</si>
  <si>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</si>
  <si>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</si>
  <si>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</si>
  <si>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</si>
  <si>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</si>
  <si>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 xml:space="preserve">Výdaje - tis.Kč </t>
  </si>
  <si>
    <t>ŠKOLSTVÍ</t>
  </si>
  <si>
    <t>ZŠ provoz</t>
  </si>
  <si>
    <t>ZŠ-plavecká učebna</t>
  </si>
  <si>
    <t>ZŠ-ŠJ</t>
  </si>
  <si>
    <t>ZŠ dětské dopr.hřiště</t>
  </si>
  <si>
    <t>ZŠ dotace EU</t>
  </si>
  <si>
    <t>ZUŠ</t>
  </si>
  <si>
    <t>DDM</t>
  </si>
  <si>
    <t>MŠ</t>
  </si>
  <si>
    <t>MŠ-ŠJ</t>
  </si>
  <si>
    <t>SPRÁVA MĚÚ</t>
  </si>
  <si>
    <t>Měú Blovice</t>
  </si>
  <si>
    <t>Městská policie</t>
  </si>
  <si>
    <t>KULTURA/SPORT</t>
  </si>
  <si>
    <t>LD provoz + noviny</t>
  </si>
  <si>
    <t>ost.spolky+kult.akce</t>
  </si>
  <si>
    <t>ROZVOJ MĚSTA</t>
  </si>
  <si>
    <t>územní plán Blovice</t>
  </si>
  <si>
    <t>ostatní investice</t>
  </si>
  <si>
    <t>ÚDRŽBA MĚSTA</t>
  </si>
  <si>
    <t>voda, kanal., plyn</t>
  </si>
  <si>
    <t>opravy MK+dopr.zn.+havárie</t>
  </si>
  <si>
    <t xml:space="preserve">úklid, zimní údržba </t>
  </si>
  <si>
    <t>zeleň, hřbitov, WC</t>
  </si>
  <si>
    <t>odpad</t>
  </si>
  <si>
    <t>prac.četa města</t>
  </si>
  <si>
    <t>věř.osvětlení</t>
  </si>
  <si>
    <t>JSDH Blovice - provoz (JPOIII)</t>
  </si>
  <si>
    <t>oprava kolowratské kaple</t>
  </si>
  <si>
    <t>RŮZNÉ VÝDAJE</t>
  </si>
  <si>
    <t>dopr.obslužnost+BUS</t>
  </si>
  <si>
    <t>čistírna</t>
  </si>
  <si>
    <t>úroky z úvěrů</t>
  </si>
  <si>
    <t>odvod daně Fú (DPPO+DPH)</t>
  </si>
  <si>
    <t>Mikroregion - fin.spoluúčast</t>
  </si>
  <si>
    <t>"Čistá Berounka" provoz svazku</t>
  </si>
  <si>
    <t>SOC.VĚCI</t>
  </si>
  <si>
    <t>peč.služba</t>
  </si>
  <si>
    <t>CELKEM VÝDAJE PŘED KONS.</t>
  </si>
  <si>
    <t>CELKEM VÝDAJE PO KONS.</t>
  </si>
  <si>
    <t>HV PO KONSOLIDACI</t>
  </si>
  <si>
    <t>Financování</t>
  </si>
  <si>
    <t>Splátky úvěrů</t>
  </si>
  <si>
    <t>CELKEM</t>
  </si>
  <si>
    <t>Změna stavu krátk.prostředků</t>
  </si>
  <si>
    <t>Poč.stav prostř.na účtech rozp.hosp.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</si>
  <si>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</si>
  <si>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</si>
  <si>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</si>
  <si>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</si>
  <si>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</si>
  <si>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</si>
  <si>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kropící vůz</t>
  </si>
  <si>
    <t>chodník Hradiště</t>
  </si>
  <si>
    <t>koncesní řízení - provozovatel VaK</t>
  </si>
  <si>
    <t>pojistné města</t>
  </si>
  <si>
    <t>bankovní poplatky</t>
  </si>
  <si>
    <t>drobné opravy, služby</t>
  </si>
  <si>
    <t>projekty vodovody</t>
  </si>
  <si>
    <t>oprava MK Dubí</t>
  </si>
  <si>
    <t xml:space="preserve">optický kabel MěÚ </t>
  </si>
  <si>
    <t>střecha MěÚ - čp.143 (PK)</t>
  </si>
  <si>
    <t>státní správa lesů neinv.</t>
  </si>
  <si>
    <t>prodeje ost.majetku</t>
  </si>
  <si>
    <t>rozpočet 2012</t>
  </si>
  <si>
    <t>I.úprava</t>
  </si>
  <si>
    <t>II.úprava</t>
  </si>
  <si>
    <t>koupací biotop</t>
  </si>
  <si>
    <t>¨¨¨¨¨¨¨¨¨¨¨¨¨¨¨¨¨¨¨¨¨¨¨¨¨¨¨¨¨¨¨¨¨¨¨¨¨¨¨¨¨¨¨¨¨¨¨¨¨¨¨¨¨¨¨¨¨¨¨¨¨¨¨¨</t>
  </si>
  <si>
    <t>rekonstrukce sochy sv.Jana Nep.</t>
  </si>
  <si>
    <t>výtah DPS</t>
  </si>
  <si>
    <t>běžné příjmy</t>
  </si>
  <si>
    <t>běžné výdaje</t>
  </si>
  <si>
    <t>saldo běžného hosp.</t>
  </si>
  <si>
    <t>podíl salda na běž.příjmech</t>
  </si>
  <si>
    <t>inv.dotace</t>
  </si>
  <si>
    <t xml:space="preserve">Příjmy </t>
  </si>
  <si>
    <t>Dotace</t>
  </si>
  <si>
    <t>Daně</t>
  </si>
  <si>
    <t xml:space="preserve">Poplatky </t>
  </si>
  <si>
    <t>Prodeje</t>
  </si>
  <si>
    <t>Nájmy</t>
  </si>
  <si>
    <t>Lesy</t>
  </si>
  <si>
    <t>BH, převod z FRB</t>
  </si>
  <si>
    <t>Zvl. Příjmy</t>
  </si>
  <si>
    <t>Fondové hospodaření</t>
  </si>
  <si>
    <t>CELKEM PO KONS.</t>
  </si>
  <si>
    <t xml:space="preserve">Výdaje </t>
  </si>
  <si>
    <t>Školství</t>
  </si>
  <si>
    <t>Správa MěÚ</t>
  </si>
  <si>
    <t>Kultura a sport</t>
  </si>
  <si>
    <t>Rozvoj města</t>
  </si>
  <si>
    <t>Údržba města</t>
  </si>
  <si>
    <t>Různé výdaje</t>
  </si>
  <si>
    <t>Soc.věci</t>
  </si>
  <si>
    <t xml:space="preserve">Rekapitulace financování rozpočtu </t>
  </si>
  <si>
    <t>Rok</t>
  </si>
  <si>
    <t>Příjmy celkem</t>
  </si>
  <si>
    <t>Výdaje celkem</t>
  </si>
  <si>
    <t>HV (P-V)</t>
  </si>
  <si>
    <t xml:space="preserve">Přijaté úvěry </t>
  </si>
  <si>
    <t>Rozpuštění prostř.rozp.hosp.</t>
  </si>
  <si>
    <t>Financování celkem</t>
  </si>
  <si>
    <t>Fin.prostř.na b.ú.</t>
  </si>
  <si>
    <t>Dluhová služba v %</t>
  </si>
  <si>
    <t xml:space="preserve"> </t>
  </si>
  <si>
    <t>Objem zadluženosti v tis.Kč</t>
  </si>
  <si>
    <t>(nesplacené úvěry)</t>
  </si>
  <si>
    <t>Členění podle tříd rozpočtu:</t>
  </si>
  <si>
    <t>(tis.Kč)</t>
  </si>
  <si>
    <t>Daňové příjmy</t>
  </si>
  <si>
    <t>Nedaňové příjmy</t>
  </si>
  <si>
    <t>Kapitálové příjmy (prodeje)</t>
  </si>
  <si>
    <t>Přijaté transfery (dotace)</t>
  </si>
  <si>
    <t>Příjmy celkem po kons.</t>
  </si>
  <si>
    <t>Výdaje běžné</t>
  </si>
  <si>
    <t>Výdaje kapitálové (investice)</t>
  </si>
  <si>
    <t>Výdaje celkem po kons.</t>
  </si>
  <si>
    <t>HV (tis.Kč)</t>
  </si>
  <si>
    <t>podíl běžných výdajů na celk.výdajích</t>
  </si>
  <si>
    <t>podíl investic na celkových výdajích</t>
  </si>
  <si>
    <t>MŠ - rozvody vody</t>
  </si>
  <si>
    <t>MK Pobřežní, Malé nám.</t>
  </si>
  <si>
    <t>nevyuž.dotace 2012</t>
  </si>
  <si>
    <t xml:space="preserve">knihovna </t>
  </si>
  <si>
    <t>opravy střechy čp.143</t>
  </si>
  <si>
    <t>knihovna nákup knih</t>
  </si>
  <si>
    <t>Sokol vč.odd.nár.házené</t>
  </si>
  <si>
    <t>rozpočet 2013</t>
  </si>
  <si>
    <t>JSDH Blovice - technické vozidlo</t>
  </si>
  <si>
    <t>"Čistá Berounka", věcná břemena</t>
  </si>
  <si>
    <t>Vlčice křižovatka, Branka rekonst.</t>
  </si>
  <si>
    <t>ZŠ lavice</t>
  </si>
  <si>
    <t>výsl.2012</t>
  </si>
  <si>
    <t>Opravné položky k peněž.oper.</t>
  </si>
  <si>
    <t>zateplení sálu LD</t>
  </si>
  <si>
    <t>III.úprava</t>
  </si>
  <si>
    <t xml:space="preserve">sběrný dvůr Blovice </t>
  </si>
  <si>
    <t>školství (obce)</t>
  </si>
  <si>
    <t>střecha MěÚ - čp.137</t>
  </si>
  <si>
    <t>nákup os.automobilu MěÚ</t>
  </si>
  <si>
    <t>IV.úprava</t>
  </si>
  <si>
    <t>Nadace ČEZ - osvětlení přechodu</t>
  </si>
  <si>
    <t>osvětlení přechodu Setecká</t>
  </si>
  <si>
    <t>chodník Bečvářova, Pod Rybníčkem</t>
  </si>
  <si>
    <t>veřejná zeleň pro zemní val</t>
  </si>
  <si>
    <t>povodně 2013</t>
  </si>
  <si>
    <t>odvodnění hřbitova</t>
  </si>
  <si>
    <t>oprava les.komunikace Kamensko</t>
  </si>
  <si>
    <t xml:space="preserve">LESY </t>
  </si>
  <si>
    <t>mimoř.výdaje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</si>
</sst>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0000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"/>
    <numFmt numFmtId="186" formatCode="m/d/yyyy"/>
    <numFmt numFmtId="187" formatCode="0.00000"/>
    <numFmt numFmtId="188" formatCode="0.0000"/>
    <numFmt numFmtId="189" formatCode="_-* #,##0.0\ &quot;Kč&quot;_-;\-* #,##0.0\ &quot;Kč&quot;_-;_-* &quot;-&quot;??\ &quot;Kč&quot;_-;_-@_-"/>
    <numFmt numFmtId="190" formatCode="_-* #,##0\ &quot;Kč&quot;_-;\-* #,##0\ &quot;Kč&quot;_-;_-* &quot;-&quot;??\ &quot;Kč&quot;_-;_-@_-"/>
    <numFmt numFmtId="191" formatCode="#,##0.00\ [$Kč-405]"/>
    <numFmt numFmtId="192" formatCode="#,##0.000\ [$Kč-405]"/>
    <numFmt numFmtId="193" formatCode="#,##0.0\ [$Kč-405]"/>
    <numFmt numFmtId="194" formatCode="#,##0\ [$Kč-405]"/>
    <numFmt numFmtId="195" formatCode="&quot;Kč&quot;#,##0"/>
    <numFmt numFmtId="196" formatCode="[$ESP]\ #,##0.00"/>
    <numFmt numFmtId="197" formatCode="0.000%"/>
    <numFmt numFmtId="198" formatCode="0.00000000"/>
    <numFmt numFmtId="199" formatCode="0.000000"/>
    <numFmt numFmtId="200" formatCode="_-* #,##0.000\ &quot;Kč&quot;_-;\-* #,##0.000\ &quot;Kč&quot;_-;_-* &quot;-&quot;??\ &quot;Kč&quot;_-;_-@_-"/>
    <numFmt numFmtId="201" formatCode="0.00;[Red]0.00"/>
    <numFmt numFmtId="202" formatCode="yyyy"/>
    <numFmt numFmtId="203" formatCode="[$-405]d\.\ mmmm\ yyyy"/>
    <numFmt numFmtId="204" formatCode="mmm/yyyy"/>
  </numFmts>
  <fonts count="58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u val="single"/>
      <sz val="10"/>
      <name val="Arial CE"/>
      <family val="0"/>
    </font>
    <font>
      <u val="single"/>
      <sz val="10"/>
      <color indexed="8"/>
      <name val="Arial CE"/>
      <family val="0"/>
    </font>
    <font>
      <i/>
      <sz val="10"/>
      <color indexed="8"/>
      <name val="Arial CE"/>
      <family val="0"/>
    </font>
    <font>
      <u val="single"/>
      <sz val="10"/>
      <name val="Arial CE"/>
      <family val="0"/>
    </font>
    <font>
      <b/>
      <sz val="10"/>
      <name val="Arial"/>
      <family val="2"/>
    </font>
    <font>
      <b/>
      <sz val="9"/>
      <name val="Arial CE"/>
      <family val="2"/>
    </font>
    <font>
      <b/>
      <sz val="12"/>
      <name val="Arial CE"/>
      <family val="0"/>
    </font>
    <font>
      <sz val="14.25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10.3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1" fontId="10" fillId="0" borderId="36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" fontId="6" fillId="0" borderId="36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12" fillId="0" borderId="40" xfId="0" applyNumberFormat="1" applyFont="1" applyFill="1" applyBorder="1" applyAlignment="1">
      <alignment/>
    </xf>
    <xf numFmtId="1" fontId="12" fillId="0" borderId="36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1" fontId="6" fillId="0" borderId="42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2" fillId="0" borderId="20" xfId="47" applyFont="1" applyBorder="1">
      <alignment/>
      <protection/>
    </xf>
    <xf numFmtId="0" fontId="6" fillId="0" borderId="43" xfId="0" applyFont="1" applyFill="1" applyBorder="1" applyAlignment="1">
      <alignment/>
    </xf>
    <xf numFmtId="0" fontId="0" fillId="0" borderId="36" xfId="0" applyFill="1" applyBorder="1" applyAlignment="1">
      <alignment/>
    </xf>
    <xf numFmtId="0" fontId="6" fillId="0" borderId="31" xfId="0" applyFont="1" applyFill="1" applyBorder="1" applyAlignment="1">
      <alignment/>
    </xf>
    <xf numFmtId="1" fontId="2" fillId="0" borderId="44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1" fontId="8" fillId="0" borderId="20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" fontId="8" fillId="0" borderId="3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" fontId="8" fillId="0" borderId="23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" fontId="8" fillId="0" borderId="33" xfId="0" applyNumberFormat="1" applyFont="1" applyFill="1" applyBorder="1" applyAlignment="1">
      <alignment/>
    </xf>
    <xf numFmtId="1" fontId="13" fillId="0" borderId="40" xfId="0" applyNumberFormat="1" applyFont="1" applyFill="1" applyBorder="1" applyAlignment="1">
      <alignment/>
    </xf>
    <xf numFmtId="1" fontId="13" fillId="0" borderId="36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9" fontId="2" fillId="0" borderId="26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1" fontId="2" fillId="0" borderId="36" xfId="0" applyNumberFormat="1" applyFont="1" applyFill="1" applyBorder="1" applyAlignment="1" applyProtection="1">
      <alignment/>
      <protection locked="0"/>
    </xf>
    <xf numFmtId="1" fontId="2" fillId="0" borderId="40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0" borderId="28" xfId="0" applyNumberFormat="1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" fontId="2" fillId="0" borderId="45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2" fillId="0" borderId="39" xfId="0" applyNumberFormat="1" applyFont="1" applyFill="1" applyBorder="1" applyAlignment="1">
      <alignment/>
    </xf>
    <xf numFmtId="1" fontId="15" fillId="0" borderId="40" xfId="0" applyNumberFormat="1" applyFont="1" applyFill="1" applyBorder="1" applyAlignment="1">
      <alignment/>
    </xf>
    <xf numFmtId="1" fontId="15" fillId="0" borderId="3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2" fillId="0" borderId="42" xfId="0" applyNumberFormat="1" applyFont="1" applyFill="1" applyBorder="1" applyAlignment="1">
      <alignment/>
    </xf>
    <xf numFmtId="1" fontId="2" fillId="0" borderId="32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" fontId="2" fillId="0" borderId="29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" fontId="9" fillId="0" borderId="36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9" fillId="0" borderId="16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1" fontId="6" fillId="0" borderId="26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Alignment="1">
      <alignment/>
    </xf>
    <xf numFmtId="9" fontId="0" fillId="0" borderId="0" xfId="49" applyFont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65" fontId="0" fillId="0" borderId="0" xfId="49" applyNumberFormat="1" applyFont="1" applyAlignment="1">
      <alignment/>
    </xf>
    <xf numFmtId="0" fontId="5" fillId="0" borderId="0" xfId="47" applyFont="1">
      <alignment/>
      <protection/>
    </xf>
    <xf numFmtId="0" fontId="2" fillId="0" borderId="0" xfId="47">
      <alignment/>
      <protection/>
    </xf>
    <xf numFmtId="0" fontId="7" fillId="0" borderId="33" xfId="47" applyFont="1" applyBorder="1" applyAlignment="1">
      <alignment horizontal="center"/>
      <protection/>
    </xf>
    <xf numFmtId="0" fontId="7" fillId="0" borderId="35" xfId="47" applyFont="1" applyBorder="1" applyAlignment="1">
      <alignment horizontal="center"/>
      <protection/>
    </xf>
    <xf numFmtId="0" fontId="11" fillId="0" borderId="39" xfId="47" applyFont="1" applyFill="1" applyBorder="1" applyAlignment="1">
      <alignment horizontal="center"/>
      <protection/>
    </xf>
    <xf numFmtId="0" fontId="6" fillId="0" borderId="31" xfId="47" applyFont="1" applyBorder="1">
      <alignment/>
      <protection/>
    </xf>
    <xf numFmtId="0" fontId="6" fillId="0" borderId="32" xfId="47" applyFont="1" applyBorder="1">
      <alignment/>
      <protection/>
    </xf>
    <xf numFmtId="1" fontId="2" fillId="0" borderId="26" xfId="47" applyNumberFormat="1" applyFont="1" applyBorder="1">
      <alignment/>
      <protection/>
    </xf>
    <xf numFmtId="0" fontId="6" fillId="0" borderId="20" xfId="47" applyFont="1" applyBorder="1">
      <alignment/>
      <protection/>
    </xf>
    <xf numFmtId="0" fontId="6" fillId="0" borderId="21" xfId="47" applyFont="1" applyBorder="1">
      <alignment/>
      <protection/>
    </xf>
    <xf numFmtId="0" fontId="6" fillId="0" borderId="28" xfId="47" applyFont="1" applyFill="1" applyBorder="1">
      <alignment/>
      <protection/>
    </xf>
    <xf numFmtId="0" fontId="6" fillId="0" borderId="29" xfId="47" applyFont="1" applyBorder="1">
      <alignment/>
      <protection/>
    </xf>
    <xf numFmtId="1" fontId="2" fillId="0" borderId="45" xfId="47" applyNumberFormat="1" applyFont="1" applyBorder="1">
      <alignment/>
      <protection/>
    </xf>
    <xf numFmtId="0" fontId="6" fillId="0" borderId="43" xfId="47" applyFont="1" applyBorder="1">
      <alignment/>
      <protection/>
    </xf>
    <xf numFmtId="1" fontId="9" fillId="0" borderId="39" xfId="47" applyNumberFormat="1" applyFont="1" applyFill="1" applyBorder="1">
      <alignment/>
      <protection/>
    </xf>
    <xf numFmtId="0" fontId="17" fillId="0" borderId="0" xfId="47" applyFont="1" applyBorder="1" applyAlignment="1">
      <alignment/>
      <protection/>
    </xf>
    <xf numFmtId="0" fontId="6" fillId="0" borderId="10" xfId="47" applyFont="1" applyBorder="1" applyAlignment="1">
      <alignment/>
      <protection/>
    </xf>
    <xf numFmtId="1" fontId="9" fillId="0" borderId="16" xfId="47" applyNumberFormat="1" applyFont="1" applyFill="1" applyBorder="1" applyAlignment="1">
      <alignment/>
      <protection/>
    </xf>
    <xf numFmtId="0" fontId="5" fillId="0" borderId="0" xfId="47" applyFont="1" applyBorder="1" applyAlignment="1">
      <alignment/>
      <protection/>
    </xf>
    <xf numFmtId="0" fontId="2" fillId="0" borderId="0" xfId="47" applyFont="1">
      <alignment/>
      <protection/>
    </xf>
    <xf numFmtId="0" fontId="6" fillId="0" borderId="0" xfId="47" applyFont="1">
      <alignment/>
      <protection/>
    </xf>
    <xf numFmtId="0" fontId="7" fillId="0" borderId="12" xfId="47" applyFont="1" applyBorder="1" applyAlignment="1">
      <alignment horizontal="center"/>
      <protection/>
    </xf>
    <xf numFmtId="0" fontId="7" fillId="0" borderId="14" xfId="47" applyFont="1" applyBorder="1" applyAlignment="1">
      <alignment horizontal="center"/>
      <protection/>
    </xf>
    <xf numFmtId="0" fontId="6" fillId="0" borderId="17" xfId="47" applyFont="1" applyBorder="1">
      <alignment/>
      <protection/>
    </xf>
    <xf numFmtId="0" fontId="6" fillId="0" borderId="18" xfId="47" applyFont="1" applyBorder="1">
      <alignment/>
      <protection/>
    </xf>
    <xf numFmtId="1" fontId="2" fillId="0" borderId="42" xfId="47" applyNumberFormat="1" applyFont="1" applyBorder="1">
      <alignment/>
      <protection/>
    </xf>
    <xf numFmtId="0" fontId="6" fillId="0" borderId="41" xfId="47" applyFont="1" applyBorder="1">
      <alignment/>
      <protection/>
    </xf>
    <xf numFmtId="0" fontId="2" fillId="0" borderId="0" xfId="47" applyFont="1">
      <alignment/>
      <protection/>
    </xf>
    <xf numFmtId="0" fontId="6" fillId="0" borderId="10" xfId="47" applyFont="1" applyFill="1" applyBorder="1">
      <alignment/>
      <protection/>
    </xf>
    <xf numFmtId="1" fontId="6" fillId="0" borderId="16" xfId="47" applyNumberFormat="1" applyFont="1" applyBorder="1">
      <alignment/>
      <protection/>
    </xf>
    <xf numFmtId="0" fontId="6" fillId="0" borderId="0" xfId="47" applyFont="1" applyBorder="1">
      <alignment/>
      <protection/>
    </xf>
    <xf numFmtId="0" fontId="5" fillId="0" borderId="0" xfId="47" applyFont="1" applyBorder="1" applyAlignment="1">
      <alignment horizontal="center"/>
      <protection/>
    </xf>
    <xf numFmtId="0" fontId="6" fillId="0" borderId="10" xfId="47" applyFont="1" applyBorder="1">
      <alignment/>
      <protection/>
    </xf>
    <xf numFmtId="0" fontId="11" fillId="0" borderId="39" xfId="47" applyFont="1" applyFill="1" applyBorder="1" applyAlignment="1">
      <alignment horizontal="center"/>
      <protection/>
    </xf>
    <xf numFmtId="0" fontId="11" fillId="0" borderId="0" xfId="47" applyFont="1" applyFill="1" applyBorder="1" applyAlignment="1">
      <alignment horizontal="center"/>
      <protection/>
    </xf>
    <xf numFmtId="1" fontId="8" fillId="0" borderId="40" xfId="47" applyNumberFormat="1" applyFont="1" applyFill="1" applyBorder="1">
      <alignment/>
      <protection/>
    </xf>
    <xf numFmtId="0" fontId="6" fillId="0" borderId="28" xfId="47" applyFont="1" applyBorder="1">
      <alignment/>
      <protection/>
    </xf>
    <xf numFmtId="1" fontId="8" fillId="0" borderId="45" xfId="47" applyNumberFormat="1" applyFont="1" applyFill="1" applyBorder="1">
      <alignment/>
      <protection/>
    </xf>
    <xf numFmtId="1" fontId="6" fillId="0" borderId="39" xfId="47" applyNumberFormat="1" applyFont="1" applyBorder="1">
      <alignment/>
      <protection/>
    </xf>
    <xf numFmtId="1" fontId="6" fillId="0" borderId="0" xfId="47" applyNumberFormat="1" applyFont="1" applyBorder="1">
      <alignment/>
      <protection/>
    </xf>
    <xf numFmtId="0" fontId="2" fillId="0" borderId="17" xfId="47" applyFont="1" applyBorder="1">
      <alignment/>
      <protection/>
    </xf>
    <xf numFmtId="0" fontId="2" fillId="0" borderId="40" xfId="47" applyFont="1" applyBorder="1">
      <alignment/>
      <protection/>
    </xf>
    <xf numFmtId="0" fontId="2" fillId="0" borderId="40" xfId="47" applyBorder="1">
      <alignment/>
      <protection/>
    </xf>
    <xf numFmtId="0" fontId="2" fillId="0" borderId="20" xfId="47" applyBorder="1">
      <alignment/>
      <protection/>
    </xf>
    <xf numFmtId="0" fontId="2" fillId="0" borderId="26" xfId="47" applyBorder="1">
      <alignment/>
      <protection/>
    </xf>
    <xf numFmtId="0" fontId="2" fillId="0" borderId="26" xfId="47" applyFont="1" applyBorder="1">
      <alignment/>
      <protection/>
    </xf>
    <xf numFmtId="0" fontId="2" fillId="0" borderId="28" xfId="47" applyBorder="1">
      <alignment/>
      <protection/>
    </xf>
    <xf numFmtId="0" fontId="2" fillId="0" borderId="36" xfId="47" applyBorder="1">
      <alignment/>
      <protection/>
    </xf>
    <xf numFmtId="0" fontId="6" fillId="0" borderId="39" xfId="47" applyFont="1" applyBorder="1">
      <alignment/>
      <protection/>
    </xf>
    <xf numFmtId="0" fontId="2" fillId="0" borderId="0" xfId="47" applyBorder="1">
      <alignment/>
      <protection/>
    </xf>
    <xf numFmtId="165" fontId="6" fillId="0" borderId="34" xfId="49" applyNumberFormat="1" applyFont="1" applyBorder="1" applyAlignment="1">
      <alignment/>
    </xf>
    <xf numFmtId="0" fontId="6" fillId="0" borderId="10" xfId="47" applyFont="1" applyFill="1" applyBorder="1">
      <alignment/>
      <protection/>
    </xf>
    <xf numFmtId="0" fontId="6" fillId="0" borderId="34" xfId="47" applyFont="1" applyFill="1" applyBorder="1">
      <alignment/>
      <protection/>
    </xf>
    <xf numFmtId="0" fontId="18" fillId="0" borderId="0" xfId="47" applyFont="1">
      <alignment/>
      <protection/>
    </xf>
    <xf numFmtId="0" fontId="11" fillId="0" borderId="24" xfId="47" applyFont="1" applyFill="1" applyBorder="1" applyAlignment="1">
      <alignment horizontal="center"/>
      <protection/>
    </xf>
    <xf numFmtId="1" fontId="2" fillId="0" borderId="18" xfId="47" applyNumberFormat="1" applyBorder="1">
      <alignment/>
      <protection/>
    </xf>
    <xf numFmtId="1" fontId="2" fillId="0" borderId="19" xfId="47" applyNumberFormat="1" applyBorder="1">
      <alignment/>
      <protection/>
    </xf>
    <xf numFmtId="1" fontId="2" fillId="0" borderId="40" xfId="47" applyNumberFormat="1" applyBorder="1">
      <alignment/>
      <protection/>
    </xf>
    <xf numFmtId="1" fontId="2" fillId="0" borderId="21" xfId="47" applyNumberFormat="1" applyBorder="1">
      <alignment/>
      <protection/>
    </xf>
    <xf numFmtId="1" fontId="2" fillId="0" borderId="22" xfId="47" applyNumberFormat="1" applyBorder="1">
      <alignment/>
      <protection/>
    </xf>
    <xf numFmtId="1" fontId="2" fillId="0" borderId="26" xfId="47" applyNumberFormat="1" applyBorder="1">
      <alignment/>
      <protection/>
    </xf>
    <xf numFmtId="0" fontId="2" fillId="0" borderId="28" xfId="47" applyFont="1" applyBorder="1">
      <alignment/>
      <protection/>
    </xf>
    <xf numFmtId="1" fontId="2" fillId="0" borderId="29" xfId="47" applyNumberFormat="1" applyFont="1" applyBorder="1">
      <alignment/>
      <protection/>
    </xf>
    <xf numFmtId="1" fontId="2" fillId="0" borderId="30" xfId="47" applyNumberFormat="1" applyFont="1" applyBorder="1">
      <alignment/>
      <protection/>
    </xf>
    <xf numFmtId="1" fontId="2" fillId="0" borderId="36" xfId="47" applyNumberFormat="1" applyFont="1" applyBorder="1">
      <alignment/>
      <protection/>
    </xf>
    <xf numFmtId="0" fontId="6" fillId="0" borderId="17" xfId="47" applyFont="1" applyBorder="1">
      <alignment/>
      <protection/>
    </xf>
    <xf numFmtId="1" fontId="6" fillId="0" borderId="18" xfId="47" applyNumberFormat="1" applyFont="1" applyBorder="1">
      <alignment/>
      <protection/>
    </xf>
    <xf numFmtId="1" fontId="6" fillId="0" borderId="19" xfId="47" applyNumberFormat="1" applyFont="1" applyBorder="1">
      <alignment/>
      <protection/>
    </xf>
    <xf numFmtId="1" fontId="6" fillId="0" borderId="40" xfId="47" applyNumberFormat="1" applyFont="1" applyBorder="1">
      <alignment/>
      <protection/>
    </xf>
    <xf numFmtId="0" fontId="6" fillId="0" borderId="28" xfId="47" applyFont="1" applyBorder="1">
      <alignment/>
      <protection/>
    </xf>
    <xf numFmtId="1" fontId="6" fillId="0" borderId="29" xfId="47" applyNumberFormat="1" applyFont="1" applyBorder="1">
      <alignment/>
      <protection/>
    </xf>
    <xf numFmtId="1" fontId="6" fillId="0" borderId="30" xfId="47" applyNumberFormat="1" applyFont="1" applyBorder="1">
      <alignment/>
      <protection/>
    </xf>
    <xf numFmtId="1" fontId="6" fillId="0" borderId="36" xfId="47" applyNumberFormat="1" applyFont="1" applyBorder="1">
      <alignment/>
      <protection/>
    </xf>
    <xf numFmtId="1" fontId="2" fillId="0" borderId="0" xfId="47" applyNumberFormat="1">
      <alignment/>
      <protection/>
    </xf>
    <xf numFmtId="1" fontId="2" fillId="0" borderId="29" xfId="47" applyNumberFormat="1" applyBorder="1">
      <alignment/>
      <protection/>
    </xf>
    <xf numFmtId="1" fontId="2" fillId="0" borderId="30" xfId="47" applyNumberFormat="1" applyBorder="1">
      <alignment/>
      <protection/>
    </xf>
    <xf numFmtId="1" fontId="2" fillId="0" borderId="36" xfId="47" applyNumberFormat="1" applyBorder="1">
      <alignment/>
      <protection/>
    </xf>
    <xf numFmtId="0" fontId="6" fillId="0" borderId="31" xfId="47" applyFont="1" applyBorder="1">
      <alignment/>
      <protection/>
    </xf>
    <xf numFmtId="1" fontId="6" fillId="0" borderId="32" xfId="47" applyNumberFormat="1" applyFont="1" applyBorder="1">
      <alignment/>
      <protection/>
    </xf>
    <xf numFmtId="1" fontId="6" fillId="0" borderId="25" xfId="47" applyNumberFormat="1" applyFont="1" applyBorder="1">
      <alignment/>
      <protection/>
    </xf>
    <xf numFmtId="1" fontId="6" fillId="0" borderId="42" xfId="47" applyNumberFormat="1" applyFont="1" applyBorder="1">
      <alignment/>
      <protection/>
    </xf>
    <xf numFmtId="0" fontId="6" fillId="0" borderId="33" xfId="47" applyFont="1" applyBorder="1">
      <alignment/>
      <protection/>
    </xf>
    <xf numFmtId="1" fontId="6" fillId="0" borderId="34" xfId="47" applyNumberFormat="1" applyFont="1" applyBorder="1">
      <alignment/>
      <protection/>
    </xf>
    <xf numFmtId="1" fontId="6" fillId="0" borderId="35" xfId="47" applyNumberFormat="1" applyFont="1" applyBorder="1">
      <alignment/>
      <protection/>
    </xf>
    <xf numFmtId="1" fontId="6" fillId="0" borderId="39" xfId="47" applyNumberFormat="1" applyFont="1" applyBorder="1">
      <alignment/>
      <protection/>
    </xf>
    <xf numFmtId="0" fontId="6" fillId="0" borderId="0" xfId="47" applyFont="1" applyBorder="1">
      <alignment/>
      <protection/>
    </xf>
    <xf numFmtId="1" fontId="6" fillId="0" borderId="0" xfId="47" applyNumberFormat="1" applyFont="1" applyBorder="1">
      <alignment/>
      <protection/>
    </xf>
    <xf numFmtId="165" fontId="2" fillId="0" borderId="0" xfId="49" applyNumberFormat="1" applyFont="1" applyAlignment="1">
      <alignment/>
    </xf>
    <xf numFmtId="9" fontId="2" fillId="0" borderId="0" xfId="49" applyFont="1" applyAlignment="1">
      <alignment/>
    </xf>
    <xf numFmtId="0" fontId="2" fillId="0" borderId="39" xfId="0" applyFont="1" applyFill="1" applyBorder="1" applyAlignment="1">
      <alignment/>
    </xf>
    <xf numFmtId="0" fontId="0" fillId="0" borderId="0" xfId="0" applyFont="1" applyAlignment="1">
      <alignment/>
    </xf>
    <xf numFmtId="1" fontId="8" fillId="0" borderId="39" xfId="0" applyNumberFormat="1" applyFont="1" applyFill="1" applyBorder="1" applyAlignment="1">
      <alignment/>
    </xf>
    <xf numFmtId="1" fontId="0" fillId="0" borderId="47" xfId="0" applyNumberFormat="1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8" fillId="0" borderId="42" xfId="0" applyNumberFormat="1" applyFont="1" applyFill="1" applyBorder="1" applyAlignment="1">
      <alignment/>
    </xf>
    <xf numFmtId="1" fontId="8" fillId="0" borderId="26" xfId="0" applyNumberFormat="1" applyFont="1" applyFill="1" applyBorder="1" applyAlignment="1">
      <alignment/>
    </xf>
    <xf numFmtId="164" fontId="13" fillId="0" borderId="40" xfId="0" applyNumberFormat="1" applyFont="1" applyFill="1" applyBorder="1" applyAlignment="1">
      <alignment/>
    </xf>
    <xf numFmtId="1" fontId="6" fillId="0" borderId="36" xfId="0" applyNumberFormat="1" applyFont="1" applyFill="1" applyBorder="1" applyAlignment="1" applyProtection="1">
      <alignment/>
      <protection locked="0"/>
    </xf>
    <xf numFmtId="1" fontId="2" fillId="0" borderId="31" xfId="0" applyNumberFormat="1" applyFont="1" applyFill="1" applyBorder="1" applyAlignment="1">
      <alignment/>
    </xf>
    <xf numFmtId="0" fontId="2" fillId="0" borderId="48" xfId="47" applyFont="1" applyBorder="1">
      <alignment/>
      <protection/>
    </xf>
    <xf numFmtId="0" fontId="2" fillId="0" borderId="45" xfId="47" applyBorder="1">
      <alignment/>
      <protection/>
    </xf>
    <xf numFmtId="0" fontId="2" fillId="0" borderId="45" xfId="47" applyFont="1" applyBorder="1">
      <alignment/>
      <protection/>
    </xf>
    <xf numFmtId="0" fontId="2" fillId="0" borderId="23" xfId="47" applyFont="1" applyBorder="1">
      <alignment/>
      <protection/>
    </xf>
    <xf numFmtId="1" fontId="6" fillId="0" borderId="45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" fontId="8" fillId="0" borderId="17" xfId="0" applyNumberFormat="1" applyFont="1" applyFill="1" applyBorder="1" applyAlignment="1">
      <alignment/>
    </xf>
    <xf numFmtId="1" fontId="10" fillId="0" borderId="4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1" fontId="9" fillId="0" borderId="39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1" fontId="9" fillId="0" borderId="2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23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1" fontId="9" fillId="0" borderId="33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1" fontId="2" fillId="0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1" fontId="0" fillId="0" borderId="51" xfId="0" applyNumberFormat="1" applyFont="1" applyBorder="1" applyAlignment="1">
      <alignment/>
    </xf>
    <xf numFmtId="1" fontId="6" fillId="0" borderId="49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42" xfId="0" applyFill="1" applyBorder="1" applyAlignment="1">
      <alignment/>
    </xf>
    <xf numFmtId="0" fontId="2" fillId="0" borderId="31" xfId="47" applyFont="1" applyBorder="1">
      <alignment/>
      <protection/>
    </xf>
    <xf numFmtId="1" fontId="2" fillId="0" borderId="52" xfId="0" applyNumberFormat="1" applyFont="1" applyFill="1" applyBorder="1" applyAlignment="1">
      <alignment/>
    </xf>
    <xf numFmtId="1" fontId="6" fillId="0" borderId="52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3" xfId="0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28" xfId="0" applyNumberFormat="1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" fontId="6" fillId="0" borderId="21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14" fontId="2" fillId="0" borderId="53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14" fontId="6" fillId="0" borderId="53" xfId="0" applyNumberFormat="1" applyFont="1" applyFill="1" applyBorder="1" applyAlignment="1">
      <alignment horizontal="center"/>
    </xf>
    <xf numFmtId="0" fontId="5" fillId="0" borderId="0" xfId="47" applyFont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.úprava rozpočtu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</a:rPr>
              <a:t>Město Blovice - rozpočtový výhled 2013-2016
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"/>
          <c:y val="0.103"/>
          <c:w val="1"/>
          <c:h val="0.8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'výhled 2013_16'!$B$56</c:f>
              <c:strCache>
                <c:ptCount val="1"/>
                <c:pt idx="0">
                  <c:v>Příjmy celkem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'výhled 2013_16'!$C$54:$G$54</c:f>
              <c:strCache/>
            </c:strRef>
          </c:cat>
          <c:val>
            <c:numRef>
              <c:f>'výhled 2013_16'!$C$56:$G$56</c:f>
              <c:numCache/>
            </c:numRef>
          </c:val>
          <c:shape val="box"/>
        </c:ser>
        <c:ser>
          <c:idx val="1"/>
          <c:order val="1"/>
          <c:tx>
            <c:strRef>
              <c:f>'výhled 2013_16'!$B$57</c:f>
              <c:strCache>
                <c:ptCount val="1"/>
                <c:pt idx="0">
                  <c:v>Výdaje celkem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'výhled 2013_16'!$C$54:$G$54</c:f>
              <c:strCache/>
            </c:strRef>
          </c:cat>
          <c:val>
            <c:numRef>
              <c:f>'výhled 2013_16'!$C$57:$G$57</c:f>
              <c:numCache/>
            </c:numRef>
          </c:val>
          <c:shape val="box"/>
        </c:ser>
        <c:shape val="box"/>
        <c:axId val="1436069"/>
        <c:axId val="12924622"/>
      </c:bar3DChart>
      <c:catAx>
        <c:axId val="1436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24622"/>
        <c:crosses val="autoZero"/>
        <c:auto val="1"/>
        <c:lblOffset val="100"/>
        <c:tickLblSkip val="1"/>
        <c:noMultiLvlLbl val="0"/>
      </c:catAx>
      <c:valAx>
        <c:axId val="129246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tis.Kč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6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1"/>
          <c:y val="0.4695"/>
          <c:w val="0.30775"/>
          <c:h val="0.2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47625</xdr:rowOff>
    </xdr:from>
    <xdr:to>
      <xdr:col>7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7625" y="4876800"/>
        <a:ext cx="5067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4"/>
  <sheetViews>
    <sheetView zoomScalePageLayoutView="0" workbookViewId="0" topLeftCell="A1">
      <selection activeCell="O99" sqref="O99"/>
    </sheetView>
  </sheetViews>
  <sheetFormatPr defaultColWidth="9.140625" defaultRowHeight="12.75"/>
  <cols>
    <col min="1" max="1" width="4.00390625" style="0" customWidth="1"/>
    <col min="2" max="2" width="16.8515625" style="0" customWidth="1"/>
    <col min="3" max="3" width="3.00390625" style="0" customWidth="1"/>
    <col min="4" max="4" width="31.7109375" style="0" customWidth="1"/>
    <col min="5" max="5" width="0.42578125" style="120" hidden="1" customWidth="1"/>
    <col min="6" max="7" width="0.71875" style="120" hidden="1" customWidth="1"/>
    <col min="8" max="8" width="0.13671875" style="120" hidden="1" customWidth="1"/>
    <col min="9" max="10" width="9.7109375" style="120" hidden="1" customWidth="1"/>
    <col min="11" max="11" width="6.8515625" style="232" customWidth="1"/>
    <col min="12" max="12" width="7.7109375" style="232" customWidth="1"/>
    <col min="13" max="13" width="8.140625" style="232" customWidth="1"/>
    <col min="14" max="14" width="8.00390625" style="232" customWidth="1"/>
    <col min="15" max="17" width="9.140625" style="127" customWidth="1"/>
  </cols>
  <sheetData>
    <row r="1" spans="1:17" ht="18.75" thickBot="1">
      <c r="A1" s="1" t="s">
        <v>0</v>
      </c>
      <c r="B1" s="2"/>
      <c r="C1" s="2"/>
      <c r="D1" s="2"/>
      <c r="E1" s="279" t="s">
        <v>129</v>
      </c>
      <c r="F1" s="280"/>
      <c r="G1" s="279" t="s">
        <v>130</v>
      </c>
      <c r="H1" s="280"/>
      <c r="I1" s="279" t="s">
        <v>131</v>
      </c>
      <c r="J1" s="280"/>
      <c r="K1" s="279" t="s">
        <v>193</v>
      </c>
      <c r="L1" s="280"/>
      <c r="M1" s="279" t="s">
        <v>201</v>
      </c>
      <c r="N1" s="280"/>
      <c r="O1" s="281" t="s">
        <v>206</v>
      </c>
      <c r="P1" s="282"/>
      <c r="Q1" s="129"/>
    </row>
    <row r="2" spans="1:17" ht="13.5" thickBot="1">
      <c r="A2" s="3" t="s">
        <v>1</v>
      </c>
      <c r="B2" s="4" t="s">
        <v>2</v>
      </c>
      <c r="C2" s="4" t="s">
        <v>3</v>
      </c>
      <c r="D2" s="5" t="s">
        <v>4</v>
      </c>
      <c r="E2" s="6"/>
      <c r="F2" s="7" t="s">
        <v>5</v>
      </c>
      <c r="G2" s="6"/>
      <c r="H2" s="7" t="s">
        <v>5</v>
      </c>
      <c r="I2" s="6"/>
      <c r="J2" s="7" t="s">
        <v>5</v>
      </c>
      <c r="K2" s="6"/>
      <c r="L2" s="7" t="s">
        <v>5</v>
      </c>
      <c r="M2" s="6"/>
      <c r="N2" s="7" t="s">
        <v>5</v>
      </c>
      <c r="O2" s="6"/>
      <c r="P2" s="122" t="s">
        <v>5</v>
      </c>
      <c r="Q2" s="130"/>
    </row>
    <row r="3" spans="1:17" ht="12.75">
      <c r="A3" s="8" t="s">
        <v>6</v>
      </c>
      <c r="B3" s="9" t="s">
        <v>7</v>
      </c>
      <c r="C3" s="9">
        <v>1</v>
      </c>
      <c r="D3" s="10" t="s">
        <v>8</v>
      </c>
      <c r="E3" s="64">
        <f>10483.3+814</f>
        <v>11297.3</v>
      </c>
      <c r="F3" s="65"/>
      <c r="G3" s="64">
        <f>10483.3+814</f>
        <v>11297.3</v>
      </c>
      <c r="H3" s="65"/>
      <c r="I3" s="64">
        <f>10483.3+814</f>
        <v>11297.3</v>
      </c>
      <c r="J3" s="65"/>
      <c r="K3" s="64">
        <f>10501.4+791.6</f>
        <v>11293</v>
      </c>
      <c r="L3" s="65"/>
      <c r="M3" s="64">
        <f>10501.4+791.9+230+408+28</f>
        <v>11959.3</v>
      </c>
      <c r="N3" s="65"/>
      <c r="O3" s="276">
        <f>10501.4+803.9+161+436+179</f>
        <v>12081.3</v>
      </c>
      <c r="P3" s="65"/>
      <c r="Q3" s="131"/>
    </row>
    <row r="4" spans="1:17" ht="12.75">
      <c r="A4" s="11"/>
      <c r="B4" s="12"/>
      <c r="C4" s="12">
        <f aca="true" t="shared" si="0" ref="C4:C15">+C3+1</f>
        <v>2</v>
      </c>
      <c r="D4" s="13" t="s">
        <v>203</v>
      </c>
      <c r="E4" s="66">
        <f>812.58+960</f>
        <v>1772.58</v>
      </c>
      <c r="F4" s="67"/>
      <c r="G4" s="66">
        <f>812.58+960</f>
        <v>1772.58</v>
      </c>
      <c r="H4" s="67"/>
      <c r="I4" s="66">
        <f>812.58+960</f>
        <v>1772.58</v>
      </c>
      <c r="J4" s="67"/>
      <c r="K4" s="66">
        <v>0</v>
      </c>
      <c r="L4" s="67"/>
      <c r="M4" s="66">
        <v>451</v>
      </c>
      <c r="N4" s="67"/>
      <c r="O4" s="256">
        <v>520</v>
      </c>
      <c r="P4" s="67"/>
      <c r="Q4" s="132"/>
    </row>
    <row r="5" spans="1:17" ht="12.75">
      <c r="A5" s="14"/>
      <c r="B5" s="15"/>
      <c r="C5" s="12">
        <f t="shared" si="0"/>
        <v>3</v>
      </c>
      <c r="D5" s="13" t="s">
        <v>9</v>
      </c>
      <c r="E5" s="66">
        <v>456</v>
      </c>
      <c r="F5" s="68"/>
      <c r="G5" s="66">
        <v>456</v>
      </c>
      <c r="H5" s="68"/>
      <c r="I5" s="66">
        <v>456</v>
      </c>
      <c r="J5" s="68"/>
      <c r="K5" s="66">
        <v>396</v>
      </c>
      <c r="L5" s="68"/>
      <c r="M5" s="66">
        <v>391</v>
      </c>
      <c r="N5" s="68"/>
      <c r="O5" s="66">
        <v>391</v>
      </c>
      <c r="P5" s="68"/>
      <c r="Q5" s="131"/>
    </row>
    <row r="6" spans="1:17" ht="12.75">
      <c r="A6" s="14"/>
      <c r="B6" s="15"/>
      <c r="C6" s="12">
        <f t="shared" si="0"/>
        <v>4</v>
      </c>
      <c r="D6" s="16" t="s">
        <v>10</v>
      </c>
      <c r="E6" s="66">
        <v>0</v>
      </c>
      <c r="F6" s="68"/>
      <c r="G6" s="66">
        <v>323</v>
      </c>
      <c r="H6" s="68"/>
      <c r="I6" s="66">
        <v>323</v>
      </c>
      <c r="J6" s="68"/>
      <c r="K6" s="66">
        <v>0</v>
      </c>
      <c r="L6" s="68"/>
      <c r="M6" s="66">
        <v>301.7</v>
      </c>
      <c r="N6" s="68"/>
      <c r="O6" s="66">
        <v>301.7</v>
      </c>
      <c r="P6" s="68"/>
      <c r="Q6" s="131"/>
    </row>
    <row r="7" spans="1:17" ht="12.75">
      <c r="A7" s="14"/>
      <c r="B7" s="15"/>
      <c r="C7" s="12">
        <f t="shared" si="0"/>
        <v>5</v>
      </c>
      <c r="D7" s="17" t="s">
        <v>11</v>
      </c>
      <c r="E7" s="66">
        <v>0</v>
      </c>
      <c r="F7" s="68"/>
      <c r="G7" s="66">
        <v>100</v>
      </c>
      <c r="H7" s="68"/>
      <c r="I7" s="66">
        <v>150</v>
      </c>
      <c r="J7" s="68"/>
      <c r="K7" s="66">
        <v>0</v>
      </c>
      <c r="L7" s="68"/>
      <c r="M7" s="66">
        <f>42+385</f>
        <v>427</v>
      </c>
      <c r="N7" s="68"/>
      <c r="O7" s="66">
        <f>42+385</f>
        <v>427</v>
      </c>
      <c r="P7" s="68"/>
      <c r="Q7" s="131"/>
    </row>
    <row r="8" spans="1:17" ht="12.75">
      <c r="A8" s="14"/>
      <c r="B8" s="15"/>
      <c r="C8" s="12">
        <f t="shared" si="0"/>
        <v>6</v>
      </c>
      <c r="D8" s="17" t="s">
        <v>12</v>
      </c>
      <c r="E8" s="66">
        <v>0</v>
      </c>
      <c r="F8" s="68"/>
      <c r="G8" s="66">
        <v>0</v>
      </c>
      <c r="H8" s="68"/>
      <c r="I8" s="66">
        <v>100</v>
      </c>
      <c r="J8" s="68"/>
      <c r="K8" s="66">
        <v>0</v>
      </c>
      <c r="L8" s="68"/>
      <c r="M8" s="66">
        <f>72+70+15</f>
        <v>157</v>
      </c>
      <c r="N8" s="68"/>
      <c r="O8" s="256">
        <f>72+70+15+72+84</f>
        <v>313</v>
      </c>
      <c r="P8" s="68"/>
      <c r="Q8" s="131"/>
    </row>
    <row r="9" spans="1:17" ht="12.75">
      <c r="A9" s="14"/>
      <c r="B9" s="15"/>
      <c r="C9" s="12">
        <f t="shared" si="0"/>
        <v>7</v>
      </c>
      <c r="D9" s="18" t="s">
        <v>13</v>
      </c>
      <c r="E9" s="66">
        <v>0</v>
      </c>
      <c r="F9" s="68"/>
      <c r="G9" s="66">
        <v>0</v>
      </c>
      <c r="H9" s="68"/>
      <c r="I9" s="66">
        <v>925</v>
      </c>
      <c r="J9" s="68"/>
      <c r="K9" s="66">
        <v>0</v>
      </c>
      <c r="L9" s="68"/>
      <c r="M9" s="66">
        <v>657</v>
      </c>
      <c r="N9" s="68"/>
      <c r="O9" s="256">
        <v>1224</v>
      </c>
      <c r="P9" s="68"/>
      <c r="Q9" s="131"/>
    </row>
    <row r="10" spans="1:17" ht="12.75">
      <c r="A10" s="14"/>
      <c r="B10" s="15"/>
      <c r="C10" s="12">
        <f t="shared" si="0"/>
        <v>8</v>
      </c>
      <c r="D10" s="18" t="s">
        <v>126</v>
      </c>
      <c r="E10" s="66"/>
      <c r="F10" s="68"/>
      <c r="G10" s="66"/>
      <c r="H10" s="68"/>
      <c r="I10" s="66">
        <v>200</v>
      </c>
      <c r="J10" s="68"/>
      <c r="K10" s="66">
        <v>0</v>
      </c>
      <c r="L10" s="68"/>
      <c r="M10" s="66">
        <v>150</v>
      </c>
      <c r="N10" s="68"/>
      <c r="O10" s="66">
        <v>150</v>
      </c>
      <c r="P10" s="68"/>
      <c r="Q10" s="131"/>
    </row>
    <row r="11" spans="1:17" ht="12.75">
      <c r="A11" s="14"/>
      <c r="B11" s="15"/>
      <c r="C11" s="12">
        <f t="shared" si="0"/>
        <v>9</v>
      </c>
      <c r="D11" s="18" t="s">
        <v>93</v>
      </c>
      <c r="E11" s="66"/>
      <c r="F11" s="68"/>
      <c r="G11" s="66"/>
      <c r="H11" s="68"/>
      <c r="I11" s="66"/>
      <c r="J11" s="68"/>
      <c r="K11" s="66">
        <v>0</v>
      </c>
      <c r="L11" s="68"/>
      <c r="M11" s="66">
        <v>90</v>
      </c>
      <c r="N11" s="68"/>
      <c r="O11" s="66">
        <v>90</v>
      </c>
      <c r="P11" s="68"/>
      <c r="Q11" s="131"/>
    </row>
    <row r="12" spans="1:17" ht="12.75">
      <c r="A12" s="14"/>
      <c r="B12" s="15"/>
      <c r="C12" s="12">
        <f t="shared" si="0"/>
        <v>10</v>
      </c>
      <c r="D12" s="18" t="s">
        <v>134</v>
      </c>
      <c r="E12" s="66"/>
      <c r="F12" s="68"/>
      <c r="G12" s="66"/>
      <c r="H12" s="68"/>
      <c r="I12" s="66"/>
      <c r="J12" s="68"/>
      <c r="K12" s="66">
        <v>178</v>
      </c>
      <c r="L12" s="68"/>
      <c r="M12" s="66">
        <v>178</v>
      </c>
      <c r="N12" s="68"/>
      <c r="O12" s="256">
        <v>0</v>
      </c>
      <c r="P12" s="68"/>
      <c r="Q12" s="131"/>
    </row>
    <row r="13" spans="1:16" ht="12.75">
      <c r="A13" s="14"/>
      <c r="B13" s="15"/>
      <c r="C13" s="12">
        <f t="shared" si="0"/>
        <v>11</v>
      </c>
      <c r="D13" s="18" t="s">
        <v>117</v>
      </c>
      <c r="E13" s="66"/>
      <c r="F13" s="68"/>
      <c r="G13" s="66"/>
      <c r="H13" s="68"/>
      <c r="I13" s="66"/>
      <c r="J13" s="68"/>
      <c r="K13" s="66">
        <v>2830</v>
      </c>
      <c r="L13" s="68"/>
      <c r="M13" s="66">
        <v>2873</v>
      </c>
      <c r="N13" s="68"/>
      <c r="O13" s="66">
        <v>2873</v>
      </c>
      <c r="P13" s="68"/>
    </row>
    <row r="14" spans="1:18" ht="12.75">
      <c r="A14" s="14"/>
      <c r="B14" s="15"/>
      <c r="C14" s="12">
        <f t="shared" si="0"/>
        <v>12</v>
      </c>
      <c r="D14" s="18" t="s">
        <v>82</v>
      </c>
      <c r="E14" s="66"/>
      <c r="F14" s="68"/>
      <c r="G14" s="66"/>
      <c r="H14" s="68"/>
      <c r="I14" s="66"/>
      <c r="J14" s="68"/>
      <c r="K14" s="66"/>
      <c r="L14" s="68"/>
      <c r="M14" s="66">
        <v>1200</v>
      </c>
      <c r="N14" s="68"/>
      <c r="O14" s="256">
        <v>1266</v>
      </c>
      <c r="P14" s="68"/>
      <c r="Q14" s="121">
        <f>SUM(O13:O14)</f>
        <v>4139</v>
      </c>
      <c r="R14" s="121" t="s">
        <v>140</v>
      </c>
    </row>
    <row r="15" spans="1:17" ht="12.75">
      <c r="A15" s="14"/>
      <c r="B15" s="15"/>
      <c r="C15" s="12">
        <f t="shared" si="0"/>
        <v>13</v>
      </c>
      <c r="D15" s="18" t="s">
        <v>14</v>
      </c>
      <c r="E15" s="69">
        <v>0</v>
      </c>
      <c r="F15" s="68"/>
      <c r="G15" s="69">
        <f>69+31</f>
        <v>100</v>
      </c>
      <c r="H15" s="68"/>
      <c r="I15" s="69">
        <v>9</v>
      </c>
      <c r="J15" s="68"/>
      <c r="K15" s="69">
        <v>0</v>
      </c>
      <c r="L15" s="68"/>
      <c r="M15" s="69">
        <f>46+12+5+42</f>
        <v>105</v>
      </c>
      <c r="N15" s="68"/>
      <c r="O15" s="250">
        <f>46+12+5+42+70+75+47+91+52+10</f>
        <v>450</v>
      </c>
      <c r="P15" s="68"/>
      <c r="Q15" s="131"/>
    </row>
    <row r="16" spans="1:17" ht="13.5" thickBot="1">
      <c r="A16" s="19"/>
      <c r="B16" s="20"/>
      <c r="C16" s="20"/>
      <c r="D16" s="21" t="s">
        <v>5</v>
      </c>
      <c r="E16" s="70"/>
      <c r="F16" s="71">
        <f>SUM(E3:E15)</f>
        <v>13525.88</v>
      </c>
      <c r="G16" s="70"/>
      <c r="H16" s="71">
        <f>SUM(G3:G15)</f>
        <v>14048.88</v>
      </c>
      <c r="I16" s="70"/>
      <c r="J16" s="71">
        <f>SUM(I3:I15)</f>
        <v>15232.88</v>
      </c>
      <c r="K16" s="70"/>
      <c r="L16" s="71">
        <f>SUM(K3:K15)</f>
        <v>14697</v>
      </c>
      <c r="M16" s="70"/>
      <c r="N16" s="71">
        <f>SUM(M3:M15)</f>
        <v>18940</v>
      </c>
      <c r="O16" s="70"/>
      <c r="P16" s="119">
        <f>SUM(O3:O15)</f>
        <v>20087</v>
      </c>
      <c r="Q16" s="133"/>
    </row>
    <row r="17" spans="1:17" ht="12.75">
      <c r="A17" s="22" t="s">
        <v>15</v>
      </c>
      <c r="B17" s="23" t="s">
        <v>16</v>
      </c>
      <c r="C17" s="23">
        <v>1</v>
      </c>
      <c r="D17" s="16" t="s">
        <v>17</v>
      </c>
      <c r="E17" s="72">
        <v>3000</v>
      </c>
      <c r="F17" s="73"/>
      <c r="G17" s="72">
        <v>3000</v>
      </c>
      <c r="H17" s="73"/>
      <c r="I17" s="72">
        <v>3000</v>
      </c>
      <c r="J17" s="73"/>
      <c r="K17" s="72">
        <v>2700</v>
      </c>
      <c r="L17" s="73"/>
      <c r="M17" s="72">
        <v>2770</v>
      </c>
      <c r="N17" s="236"/>
      <c r="O17" s="72">
        <v>2770</v>
      </c>
      <c r="P17" s="236"/>
      <c r="Q17" s="131"/>
    </row>
    <row r="18" spans="1:17" ht="12.75">
      <c r="A18" s="11"/>
      <c r="B18" s="12"/>
      <c r="C18" s="12">
        <v>2</v>
      </c>
      <c r="D18" s="13" t="s">
        <v>18</v>
      </c>
      <c r="E18" s="66">
        <f>6600+440+13700+550+5860</f>
        <v>27150</v>
      </c>
      <c r="F18" s="68"/>
      <c r="G18" s="66">
        <f>6600+440+13700+550+5860</f>
        <v>27150</v>
      </c>
      <c r="H18" s="68"/>
      <c r="I18" s="66">
        <f>6600+440+13700+550+5860</f>
        <v>27150</v>
      </c>
      <c r="J18" s="68"/>
      <c r="K18" s="66">
        <v>33500</v>
      </c>
      <c r="L18" s="68"/>
      <c r="M18" s="66">
        <v>33700</v>
      </c>
      <c r="N18" s="237"/>
      <c r="O18" s="256">
        <v>34700</v>
      </c>
      <c r="P18" s="237"/>
      <c r="Q18" s="131"/>
    </row>
    <row r="19" spans="1:17" ht="12.75">
      <c r="A19" s="11"/>
      <c r="B19" s="12"/>
      <c r="C19" s="12">
        <v>3</v>
      </c>
      <c r="D19" s="13" t="s">
        <v>19</v>
      </c>
      <c r="E19" s="69">
        <v>1000</v>
      </c>
      <c r="F19" s="68"/>
      <c r="G19" s="69">
        <v>570</v>
      </c>
      <c r="H19" s="68"/>
      <c r="I19" s="69">
        <v>570</v>
      </c>
      <c r="J19" s="68"/>
      <c r="K19" s="69">
        <v>570</v>
      </c>
      <c r="L19" s="68"/>
      <c r="M19" s="69">
        <v>1945</v>
      </c>
      <c r="N19" s="237"/>
      <c r="O19" s="69">
        <v>1945</v>
      </c>
      <c r="P19" s="237"/>
      <c r="Q19" s="131"/>
    </row>
    <row r="20" spans="1:17" ht="13.5" thickBot="1">
      <c r="A20" s="19"/>
      <c r="B20" s="20"/>
      <c r="C20" s="20"/>
      <c r="D20" s="21" t="s">
        <v>20</v>
      </c>
      <c r="E20" s="70"/>
      <c r="F20" s="71">
        <f>SUM(E17:E19)</f>
        <v>31150</v>
      </c>
      <c r="G20" s="70"/>
      <c r="H20" s="71">
        <f>SUM(G17:G19)</f>
        <v>30720</v>
      </c>
      <c r="I20" s="70"/>
      <c r="J20" s="71">
        <f>SUM(I17:I19)</f>
        <v>30720</v>
      </c>
      <c r="K20" s="70"/>
      <c r="L20" s="71">
        <f>SUM(K17:K19)</f>
        <v>36770</v>
      </c>
      <c r="M20" s="70"/>
      <c r="N20" s="71">
        <f>SUM(M17:M19)</f>
        <v>38415</v>
      </c>
      <c r="O20" s="70"/>
      <c r="P20" s="119">
        <f>SUM(O17:O19)</f>
        <v>39415</v>
      </c>
      <c r="Q20" s="133"/>
    </row>
    <row r="21" spans="1:17" ht="12.75">
      <c r="A21" s="11" t="s">
        <v>21</v>
      </c>
      <c r="B21" s="23" t="s">
        <v>22</v>
      </c>
      <c r="C21" s="12">
        <v>1</v>
      </c>
      <c r="D21" s="13" t="s">
        <v>23</v>
      </c>
      <c r="E21" s="69">
        <v>1250</v>
      </c>
      <c r="F21" s="68"/>
      <c r="G21" s="69">
        <v>1250</v>
      </c>
      <c r="H21" s="68"/>
      <c r="I21" s="69">
        <v>1250</v>
      </c>
      <c r="J21" s="68"/>
      <c r="K21" s="69">
        <v>1250</v>
      </c>
      <c r="L21" s="68"/>
      <c r="M21" s="69">
        <v>1170</v>
      </c>
      <c r="N21" s="68"/>
      <c r="O21" s="69">
        <v>1170</v>
      </c>
      <c r="P21" s="68"/>
      <c r="Q21" s="131"/>
    </row>
    <row r="22" spans="1:17" ht="12.75">
      <c r="A22" s="11"/>
      <c r="B22" s="12"/>
      <c r="C22" s="12">
        <f aca="true" t="shared" si="1" ref="C22:C31">+C21+1</f>
        <v>2</v>
      </c>
      <c r="D22" s="13" t="s">
        <v>24</v>
      </c>
      <c r="E22" s="69">
        <v>350</v>
      </c>
      <c r="F22" s="68"/>
      <c r="G22" s="69">
        <v>350</v>
      </c>
      <c r="H22" s="68"/>
      <c r="I22" s="69">
        <v>350</v>
      </c>
      <c r="J22" s="68"/>
      <c r="K22" s="69">
        <v>350</v>
      </c>
      <c r="L22" s="68"/>
      <c r="M22" s="69">
        <v>260</v>
      </c>
      <c r="N22" s="68"/>
      <c r="O22" s="69">
        <v>260</v>
      </c>
      <c r="P22" s="68"/>
      <c r="Q22" s="131"/>
    </row>
    <row r="23" spans="1:17" ht="12.75">
      <c r="A23" s="11"/>
      <c r="B23" s="12"/>
      <c r="C23" s="12">
        <f t="shared" si="1"/>
        <v>3</v>
      </c>
      <c r="D23" s="13" t="s">
        <v>25</v>
      </c>
      <c r="E23" s="69">
        <v>130</v>
      </c>
      <c r="F23" s="68"/>
      <c r="G23" s="69">
        <v>130</v>
      </c>
      <c r="H23" s="68"/>
      <c r="I23" s="69">
        <v>130</v>
      </c>
      <c r="J23" s="68"/>
      <c r="K23" s="69">
        <v>130</v>
      </c>
      <c r="L23" s="68"/>
      <c r="M23" s="69">
        <v>130</v>
      </c>
      <c r="N23" s="68"/>
      <c r="O23" s="250">
        <v>120</v>
      </c>
      <c r="P23" s="68"/>
      <c r="Q23" s="131"/>
    </row>
    <row r="24" spans="1:17" ht="12.75">
      <c r="A24" s="11"/>
      <c r="B24" s="12"/>
      <c r="C24" s="12">
        <f t="shared" si="1"/>
        <v>4</v>
      </c>
      <c r="D24" s="13" t="s">
        <v>26</v>
      </c>
      <c r="E24" s="69">
        <v>240</v>
      </c>
      <c r="F24" s="68"/>
      <c r="G24" s="69">
        <v>240</v>
      </c>
      <c r="H24" s="68"/>
      <c r="I24" s="69">
        <v>240</v>
      </c>
      <c r="J24" s="68"/>
      <c r="K24" s="69">
        <v>240</v>
      </c>
      <c r="L24" s="68"/>
      <c r="M24" s="69">
        <v>240</v>
      </c>
      <c r="N24" s="68"/>
      <c r="O24" s="250">
        <v>360</v>
      </c>
      <c r="P24" s="68"/>
      <c r="Q24" s="131"/>
    </row>
    <row r="25" spans="1:17" ht="12.75">
      <c r="A25" s="11"/>
      <c r="B25" s="12"/>
      <c r="C25" s="12">
        <f t="shared" si="1"/>
        <v>5</v>
      </c>
      <c r="D25" s="13" t="s">
        <v>27</v>
      </c>
      <c r="E25" s="69">
        <v>220</v>
      </c>
      <c r="F25" s="68"/>
      <c r="G25" s="69">
        <v>220</v>
      </c>
      <c r="H25" s="68"/>
      <c r="I25" s="69">
        <v>220</v>
      </c>
      <c r="J25" s="68"/>
      <c r="K25" s="69">
        <v>220</v>
      </c>
      <c r="L25" s="68"/>
      <c r="M25" s="69">
        <v>220</v>
      </c>
      <c r="N25" s="68"/>
      <c r="O25" s="250">
        <v>110</v>
      </c>
      <c r="P25" s="68"/>
      <c r="Q25" s="131"/>
    </row>
    <row r="26" spans="1:17" ht="12.75">
      <c r="A26" s="11"/>
      <c r="B26" s="12" t="s">
        <v>28</v>
      </c>
      <c r="C26" s="12">
        <f t="shared" si="1"/>
        <v>6</v>
      </c>
      <c r="D26" s="13" t="s">
        <v>29</v>
      </c>
      <c r="E26" s="69">
        <v>1800</v>
      </c>
      <c r="F26" s="68"/>
      <c r="G26" s="69">
        <v>1800</v>
      </c>
      <c r="H26" s="68"/>
      <c r="I26" s="69">
        <v>1800</v>
      </c>
      <c r="J26" s="68"/>
      <c r="K26" s="69">
        <v>1860</v>
      </c>
      <c r="L26" s="68"/>
      <c r="M26" s="69">
        <v>1860</v>
      </c>
      <c r="N26" s="68"/>
      <c r="O26" s="69">
        <v>1860</v>
      </c>
      <c r="P26" s="68"/>
      <c r="Q26" s="131"/>
    </row>
    <row r="27" spans="1:17" ht="12.75">
      <c r="A27" s="11"/>
      <c r="B27" s="12" t="s">
        <v>30</v>
      </c>
      <c r="C27" s="12">
        <f t="shared" si="1"/>
        <v>7</v>
      </c>
      <c r="D27" s="13" t="s">
        <v>31</v>
      </c>
      <c r="E27" s="69">
        <v>112</v>
      </c>
      <c r="F27" s="68"/>
      <c r="G27" s="69">
        <v>112</v>
      </c>
      <c r="H27" s="68"/>
      <c r="I27" s="69">
        <v>112</v>
      </c>
      <c r="J27" s="68"/>
      <c r="K27" s="69">
        <v>112</v>
      </c>
      <c r="L27" s="68"/>
      <c r="M27" s="69">
        <v>112</v>
      </c>
      <c r="N27" s="68"/>
      <c r="O27" s="69">
        <v>112</v>
      </c>
      <c r="P27" s="68"/>
      <c r="Q27" s="131"/>
    </row>
    <row r="28" spans="1:17" ht="12.75">
      <c r="A28" s="11"/>
      <c r="B28" s="12"/>
      <c r="C28" s="12">
        <f t="shared" si="1"/>
        <v>8</v>
      </c>
      <c r="D28" s="13" t="s">
        <v>32</v>
      </c>
      <c r="E28" s="69">
        <v>198</v>
      </c>
      <c r="F28" s="68"/>
      <c r="G28" s="69">
        <v>198</v>
      </c>
      <c r="H28" s="68"/>
      <c r="I28" s="69">
        <v>198</v>
      </c>
      <c r="J28" s="68"/>
      <c r="K28" s="69">
        <v>198</v>
      </c>
      <c r="L28" s="68"/>
      <c r="M28" s="69">
        <v>198</v>
      </c>
      <c r="N28" s="68"/>
      <c r="O28" s="69">
        <v>198</v>
      </c>
      <c r="P28" s="68"/>
      <c r="Q28" s="131"/>
    </row>
    <row r="29" spans="1:17" ht="12.75">
      <c r="A29" s="11"/>
      <c r="B29" s="12"/>
      <c r="C29" s="12">
        <f t="shared" si="1"/>
        <v>9</v>
      </c>
      <c r="D29" s="13" t="s">
        <v>33</v>
      </c>
      <c r="E29" s="69">
        <v>60</v>
      </c>
      <c r="F29" s="68"/>
      <c r="G29" s="69">
        <v>60</v>
      </c>
      <c r="H29" s="68"/>
      <c r="I29" s="69">
        <v>60</v>
      </c>
      <c r="J29" s="68"/>
      <c r="K29" s="69">
        <v>60</v>
      </c>
      <c r="L29" s="68"/>
      <c r="M29" s="69">
        <v>60</v>
      </c>
      <c r="N29" s="68"/>
      <c r="O29" s="69">
        <v>60</v>
      </c>
      <c r="P29" s="68"/>
      <c r="Q29" s="131"/>
    </row>
    <row r="30" spans="1:17" ht="12.75">
      <c r="A30" s="14"/>
      <c r="B30" s="15"/>
      <c r="C30" s="12">
        <f t="shared" si="1"/>
        <v>10</v>
      </c>
      <c r="D30" s="18" t="s">
        <v>34</v>
      </c>
      <c r="E30" s="74">
        <v>2135</v>
      </c>
      <c r="F30" s="75"/>
      <c r="G30" s="74">
        <v>2135</v>
      </c>
      <c r="H30" s="75"/>
      <c r="I30" s="74">
        <v>2135</v>
      </c>
      <c r="J30" s="75"/>
      <c r="K30" s="74">
        <v>3150</v>
      </c>
      <c r="L30" s="75"/>
      <c r="M30" s="74">
        <v>3150</v>
      </c>
      <c r="N30" s="75"/>
      <c r="O30" s="74">
        <v>3150</v>
      </c>
      <c r="P30" s="75"/>
      <c r="Q30" s="131"/>
    </row>
    <row r="31" spans="1:17" ht="12.75">
      <c r="A31" s="14"/>
      <c r="B31" s="15" t="s">
        <v>35</v>
      </c>
      <c r="C31" s="12">
        <f t="shared" si="1"/>
        <v>11</v>
      </c>
      <c r="D31" s="18" t="s">
        <v>36</v>
      </c>
      <c r="E31" s="74">
        <v>170</v>
      </c>
      <c r="F31" s="75"/>
      <c r="G31" s="74">
        <v>170</v>
      </c>
      <c r="H31" s="75"/>
      <c r="I31" s="74">
        <v>170</v>
      </c>
      <c r="J31" s="75"/>
      <c r="K31" s="74">
        <v>170</v>
      </c>
      <c r="L31" s="75"/>
      <c r="M31" s="74">
        <v>150</v>
      </c>
      <c r="N31" s="75"/>
      <c r="O31" s="74">
        <v>150</v>
      </c>
      <c r="P31" s="75"/>
      <c r="Q31" s="131"/>
    </row>
    <row r="32" spans="1:17" ht="13.5" thickBot="1">
      <c r="A32" s="19"/>
      <c r="B32" s="20"/>
      <c r="C32" s="20"/>
      <c r="D32" s="21" t="s">
        <v>20</v>
      </c>
      <c r="E32" s="70"/>
      <c r="F32" s="76">
        <f>SUM(E21:E31)</f>
        <v>6665</v>
      </c>
      <c r="G32" s="70"/>
      <c r="H32" s="76">
        <f>SUM(G21:G31)</f>
        <v>6665</v>
      </c>
      <c r="I32" s="70"/>
      <c r="J32" s="76">
        <f>SUM(I21:I31)</f>
        <v>6665</v>
      </c>
      <c r="K32" s="70"/>
      <c r="L32" s="76">
        <f>SUM(K21:K31)</f>
        <v>7740</v>
      </c>
      <c r="M32" s="70"/>
      <c r="N32" s="71">
        <f>SUM(M21:M31)</f>
        <v>7550</v>
      </c>
      <c r="O32" s="70"/>
      <c r="P32" s="119">
        <f>SUM(O21:O31)</f>
        <v>7550</v>
      </c>
      <c r="Q32" s="131"/>
    </row>
    <row r="33" spans="1:17" ht="12.75">
      <c r="A33" s="8" t="s">
        <v>37</v>
      </c>
      <c r="B33" s="9" t="s">
        <v>38</v>
      </c>
      <c r="C33" s="9">
        <v>1</v>
      </c>
      <c r="D33" s="10" t="s">
        <v>39</v>
      </c>
      <c r="E33" s="77">
        <v>238</v>
      </c>
      <c r="F33" s="65"/>
      <c r="G33" s="77">
        <v>238</v>
      </c>
      <c r="H33" s="65"/>
      <c r="I33" s="77">
        <v>238</v>
      </c>
      <c r="J33" s="65"/>
      <c r="K33" s="77">
        <v>250</v>
      </c>
      <c r="L33" s="65"/>
      <c r="M33" s="77">
        <v>350</v>
      </c>
      <c r="N33" s="65"/>
      <c r="O33" s="246">
        <v>485</v>
      </c>
      <c r="P33" s="65"/>
      <c r="Q33" s="131"/>
    </row>
    <row r="34" spans="1:17" ht="12.75">
      <c r="A34" s="11"/>
      <c r="B34" s="12" t="s">
        <v>40</v>
      </c>
      <c r="C34" s="12">
        <v>2</v>
      </c>
      <c r="D34" s="13" t="s">
        <v>41</v>
      </c>
      <c r="E34" s="69">
        <v>4000</v>
      </c>
      <c r="F34" s="68"/>
      <c r="G34" s="69">
        <v>4000</v>
      </c>
      <c r="H34" s="68"/>
      <c r="I34" s="69">
        <v>3950</v>
      </c>
      <c r="J34" s="68"/>
      <c r="K34" s="69">
        <v>2200</v>
      </c>
      <c r="L34" s="68"/>
      <c r="M34" s="69">
        <v>2200</v>
      </c>
      <c r="N34" s="68"/>
      <c r="O34" s="250">
        <v>2000</v>
      </c>
      <c r="P34" s="68"/>
      <c r="Q34" s="131"/>
    </row>
    <row r="35" spans="1:17" ht="12.75">
      <c r="A35" s="14"/>
      <c r="B35" s="15"/>
      <c r="C35" s="12">
        <v>3</v>
      </c>
      <c r="D35" s="18" t="s">
        <v>42</v>
      </c>
      <c r="E35" s="74">
        <v>2500</v>
      </c>
      <c r="F35" s="75"/>
      <c r="G35" s="74">
        <v>2500</v>
      </c>
      <c r="H35" s="75"/>
      <c r="I35" s="74">
        <v>2550</v>
      </c>
      <c r="J35" s="75"/>
      <c r="K35" s="74">
        <v>100</v>
      </c>
      <c r="L35" s="75"/>
      <c r="M35" s="74">
        <v>50</v>
      </c>
      <c r="N35" s="75"/>
      <c r="O35" s="262">
        <f>50+1112</f>
        <v>1162</v>
      </c>
      <c r="P35" s="75"/>
      <c r="Q35" s="131"/>
    </row>
    <row r="36" spans="1:17" ht="12.75">
      <c r="A36" s="14"/>
      <c r="B36" s="15"/>
      <c r="C36" s="12">
        <v>4</v>
      </c>
      <c r="D36" s="18" t="s">
        <v>128</v>
      </c>
      <c r="E36" s="74"/>
      <c r="F36" s="75"/>
      <c r="G36" s="74"/>
      <c r="H36" s="75"/>
      <c r="I36" s="74"/>
      <c r="J36" s="75"/>
      <c r="K36" s="74">
        <v>50</v>
      </c>
      <c r="L36" s="75"/>
      <c r="M36" s="74">
        <v>50</v>
      </c>
      <c r="N36" s="75"/>
      <c r="O36" s="262">
        <v>5</v>
      </c>
      <c r="P36" s="75"/>
      <c r="Q36" s="131"/>
    </row>
    <row r="37" spans="1:17" ht="12.75">
      <c r="A37" s="14"/>
      <c r="B37" s="15"/>
      <c r="C37" s="12">
        <v>5</v>
      </c>
      <c r="D37" s="18" t="s">
        <v>43</v>
      </c>
      <c r="E37" s="74">
        <f>24*12</f>
        <v>288</v>
      </c>
      <c r="F37" s="75"/>
      <c r="G37" s="74">
        <f>24*12</f>
        <v>288</v>
      </c>
      <c r="H37" s="75"/>
      <c r="I37" s="74">
        <f>24*12</f>
        <v>288</v>
      </c>
      <c r="J37" s="75"/>
      <c r="K37" s="74">
        <f>24*12</f>
        <v>288</v>
      </c>
      <c r="L37" s="75"/>
      <c r="M37" s="74">
        <v>638</v>
      </c>
      <c r="N37" s="75"/>
      <c r="O37" s="262">
        <f>638+219-5</f>
        <v>852</v>
      </c>
      <c r="P37" s="75"/>
      <c r="Q37" s="131"/>
    </row>
    <row r="38" spans="1:17" ht="13.5" thickBot="1">
      <c r="A38" s="19"/>
      <c r="B38" s="20"/>
      <c r="C38" s="20"/>
      <c r="D38" s="21" t="s">
        <v>20</v>
      </c>
      <c r="E38" s="70"/>
      <c r="F38" s="76">
        <f>SUM(E33:E37)</f>
        <v>7026</v>
      </c>
      <c r="G38" s="70"/>
      <c r="H38" s="76">
        <f>SUM(G33:G37)</f>
        <v>7026</v>
      </c>
      <c r="I38" s="70"/>
      <c r="J38" s="76">
        <f>SUM(I33:I37)</f>
        <v>7026</v>
      </c>
      <c r="K38" s="70"/>
      <c r="L38" s="76">
        <f>SUM(K33:K37)</f>
        <v>2888</v>
      </c>
      <c r="M38" s="70"/>
      <c r="N38" s="71">
        <f>SUM(M33:M37)</f>
        <v>3288</v>
      </c>
      <c r="O38" s="70"/>
      <c r="P38" s="119">
        <f>SUM(O33:O37)</f>
        <v>4504</v>
      </c>
      <c r="Q38" s="131"/>
    </row>
    <row r="39" spans="1:17" ht="12.75">
      <c r="A39" s="8" t="s">
        <v>44</v>
      </c>
      <c r="B39" s="24" t="s">
        <v>45</v>
      </c>
      <c r="C39" s="24">
        <v>1</v>
      </c>
      <c r="D39" s="10" t="s">
        <v>46</v>
      </c>
      <c r="E39" s="77">
        <v>134</v>
      </c>
      <c r="F39" s="65"/>
      <c r="G39" s="77">
        <v>134</v>
      </c>
      <c r="H39" s="65"/>
      <c r="I39" s="77">
        <v>134</v>
      </c>
      <c r="J39" s="65"/>
      <c r="K39" s="77">
        <v>134</v>
      </c>
      <c r="L39" s="65"/>
      <c r="M39" s="77">
        <v>134</v>
      </c>
      <c r="N39" s="65"/>
      <c r="O39" s="77">
        <v>134</v>
      </c>
      <c r="P39" s="65"/>
      <c r="Q39" s="131"/>
    </row>
    <row r="40" spans="1:17" ht="12.75">
      <c r="A40" s="22"/>
      <c r="B40" s="25"/>
      <c r="C40" s="25">
        <v>2</v>
      </c>
      <c r="D40" s="16" t="s">
        <v>47</v>
      </c>
      <c r="E40" s="72">
        <v>300</v>
      </c>
      <c r="F40" s="73"/>
      <c r="G40" s="72">
        <v>350</v>
      </c>
      <c r="H40" s="73"/>
      <c r="I40" s="72">
        <v>350</v>
      </c>
      <c r="J40" s="73"/>
      <c r="K40" s="72">
        <v>350</v>
      </c>
      <c r="L40" s="73"/>
      <c r="M40" s="72">
        <v>350</v>
      </c>
      <c r="N40" s="73"/>
      <c r="O40" s="72">
        <v>350</v>
      </c>
      <c r="P40" s="73"/>
      <c r="Q40" s="131"/>
    </row>
    <row r="41" spans="1:17" ht="12.75">
      <c r="A41" s="11"/>
      <c r="B41" s="26"/>
      <c r="C41" s="26">
        <v>3</v>
      </c>
      <c r="D41" s="13" t="s">
        <v>48</v>
      </c>
      <c r="E41" s="69">
        <v>446</v>
      </c>
      <c r="F41" s="68"/>
      <c r="G41" s="69">
        <v>446</v>
      </c>
      <c r="H41" s="68"/>
      <c r="I41" s="69">
        <v>446</v>
      </c>
      <c r="J41" s="68"/>
      <c r="K41" s="69">
        <v>446</v>
      </c>
      <c r="L41" s="68"/>
      <c r="M41" s="69">
        <v>446</v>
      </c>
      <c r="N41" s="68"/>
      <c r="O41" s="69">
        <v>446</v>
      </c>
      <c r="P41" s="68"/>
      <c r="Q41" s="131"/>
    </row>
    <row r="42" spans="1:17" ht="12.75">
      <c r="A42" s="14"/>
      <c r="B42" s="27"/>
      <c r="C42" s="27">
        <v>4</v>
      </c>
      <c r="D42" s="18" t="s">
        <v>49</v>
      </c>
      <c r="E42" s="78">
        <f>120+418</f>
        <v>538</v>
      </c>
      <c r="F42" s="75"/>
      <c r="G42" s="78">
        <f>120+418</f>
        <v>538</v>
      </c>
      <c r="H42" s="75"/>
      <c r="I42" s="78">
        <f>120+418</f>
        <v>538</v>
      </c>
      <c r="J42" s="75"/>
      <c r="K42" s="78">
        <v>3115</v>
      </c>
      <c r="L42" s="75"/>
      <c r="M42" s="78">
        <v>3255</v>
      </c>
      <c r="N42" s="75"/>
      <c r="O42" s="78">
        <v>3255</v>
      </c>
      <c r="P42" s="75"/>
      <c r="Q42" s="131"/>
    </row>
    <row r="43" spans="1:17" ht="13.5" thickBot="1">
      <c r="A43" s="19"/>
      <c r="B43" s="28"/>
      <c r="C43" s="28"/>
      <c r="D43" s="21" t="s">
        <v>20</v>
      </c>
      <c r="E43" s="70"/>
      <c r="F43" s="76">
        <f>SUM(E39:E42)</f>
        <v>1418</v>
      </c>
      <c r="G43" s="70"/>
      <c r="H43" s="76">
        <f>SUM(G39:G42)</f>
        <v>1468</v>
      </c>
      <c r="I43" s="70"/>
      <c r="J43" s="76">
        <f>SUM(I39:I42)</f>
        <v>1468</v>
      </c>
      <c r="K43" s="70"/>
      <c r="L43" s="76">
        <f>SUM(K39:K42)</f>
        <v>4045</v>
      </c>
      <c r="M43" s="70"/>
      <c r="N43" s="71">
        <f>SUM(M39:M42)</f>
        <v>4185</v>
      </c>
      <c r="O43" s="253"/>
      <c r="P43" s="71">
        <f>SUM(O39:O42)</f>
        <v>4185</v>
      </c>
      <c r="Q43" s="131"/>
    </row>
    <row r="44" spans="1:17" ht="13.5" thickBot="1">
      <c r="A44" s="29" t="s">
        <v>50</v>
      </c>
      <c r="B44" s="30" t="s">
        <v>51</v>
      </c>
      <c r="C44" s="30"/>
      <c r="D44" s="31"/>
      <c r="E44" s="79">
        <v>1100</v>
      </c>
      <c r="F44" s="80">
        <f>SUM(E44)</f>
        <v>1100</v>
      </c>
      <c r="G44" s="79">
        <v>1500</v>
      </c>
      <c r="H44" s="80">
        <f>SUM(G44)</f>
        <v>1500</v>
      </c>
      <c r="I44" s="79">
        <v>1650</v>
      </c>
      <c r="J44" s="80">
        <f>SUM(I44)</f>
        <v>1650</v>
      </c>
      <c r="K44" s="79">
        <v>1100</v>
      </c>
      <c r="L44" s="80">
        <f>SUM(K44)</f>
        <v>1100</v>
      </c>
      <c r="M44" s="79">
        <v>1830</v>
      </c>
      <c r="N44" s="233">
        <f>SUM(M44)</f>
        <v>1830</v>
      </c>
      <c r="O44" s="251">
        <v>1850</v>
      </c>
      <c r="P44" s="252">
        <f>SUM(O44)</f>
        <v>1850</v>
      </c>
      <c r="Q44" s="131"/>
    </row>
    <row r="45" spans="1:17" ht="13.5" thickBot="1">
      <c r="A45" s="29" t="s">
        <v>52</v>
      </c>
      <c r="B45" s="30" t="s">
        <v>53</v>
      </c>
      <c r="C45" s="30"/>
      <c r="D45" s="31"/>
      <c r="E45" s="79">
        <v>400</v>
      </c>
      <c r="F45" s="80">
        <f>SUM(E45)</f>
        <v>400</v>
      </c>
      <c r="G45" s="79">
        <v>400</v>
      </c>
      <c r="H45" s="80">
        <f>SUM(G45)</f>
        <v>400</v>
      </c>
      <c r="I45" s="79">
        <v>400</v>
      </c>
      <c r="J45" s="80">
        <f>SUM(I45)</f>
        <v>400</v>
      </c>
      <c r="K45" s="79">
        <v>350</v>
      </c>
      <c r="L45" s="80">
        <f>SUM(K45)</f>
        <v>350</v>
      </c>
      <c r="M45" s="79">
        <v>350</v>
      </c>
      <c r="N45" s="233">
        <f>SUM(M45)</f>
        <v>350</v>
      </c>
      <c r="O45" s="79">
        <v>350</v>
      </c>
      <c r="P45" s="233">
        <f>SUM(O45)</f>
        <v>350</v>
      </c>
      <c r="Q45" s="131"/>
    </row>
    <row r="46" spans="1:17" ht="12.75">
      <c r="A46" s="22" t="s">
        <v>54</v>
      </c>
      <c r="B46" s="25" t="s">
        <v>55</v>
      </c>
      <c r="C46" s="25">
        <v>1</v>
      </c>
      <c r="D46" s="16" t="s">
        <v>56</v>
      </c>
      <c r="E46" s="72">
        <v>650</v>
      </c>
      <c r="F46" s="73"/>
      <c r="G46" s="72">
        <v>700</v>
      </c>
      <c r="H46" s="73"/>
      <c r="I46" s="72">
        <f>713+92+50</f>
        <v>855</v>
      </c>
      <c r="J46" s="73"/>
      <c r="K46" s="72">
        <f>753+92+70</f>
        <v>915</v>
      </c>
      <c r="L46" s="73"/>
      <c r="M46" s="72">
        <f>753+92+70</f>
        <v>915</v>
      </c>
      <c r="N46" s="73"/>
      <c r="O46" s="72">
        <f>753+92+70</f>
        <v>915</v>
      </c>
      <c r="P46" s="73"/>
      <c r="Q46" s="131"/>
    </row>
    <row r="47" spans="1:17" ht="12.75">
      <c r="A47" s="22"/>
      <c r="B47" s="25"/>
      <c r="C47" s="25">
        <f>+C46+1</f>
        <v>2</v>
      </c>
      <c r="D47" s="16" t="s">
        <v>57</v>
      </c>
      <c r="E47" s="72">
        <v>1050</v>
      </c>
      <c r="F47" s="73"/>
      <c r="G47" s="72">
        <v>1050</v>
      </c>
      <c r="H47" s="73"/>
      <c r="I47" s="72">
        <v>1050</v>
      </c>
      <c r="J47" s="73"/>
      <c r="K47" s="72">
        <v>950</v>
      </c>
      <c r="L47" s="73"/>
      <c r="M47" s="72">
        <v>950</v>
      </c>
      <c r="N47" s="73"/>
      <c r="O47" s="72">
        <v>950</v>
      </c>
      <c r="P47" s="73"/>
      <c r="Q47" s="131"/>
    </row>
    <row r="48" spans="1:17" ht="12.75">
      <c r="A48" s="22"/>
      <c r="B48" s="25"/>
      <c r="C48" s="25">
        <f>+C47+1</f>
        <v>3</v>
      </c>
      <c r="D48" s="16" t="s">
        <v>58</v>
      </c>
      <c r="E48" s="72">
        <v>550</v>
      </c>
      <c r="F48" s="73"/>
      <c r="G48" s="72">
        <v>550</v>
      </c>
      <c r="H48" s="73"/>
      <c r="I48" s="72">
        <v>550</v>
      </c>
      <c r="J48" s="73"/>
      <c r="K48" s="72">
        <v>450</v>
      </c>
      <c r="L48" s="73"/>
      <c r="M48" s="72">
        <v>350</v>
      </c>
      <c r="N48" s="73"/>
      <c r="O48" s="255">
        <v>290</v>
      </c>
      <c r="P48" s="73"/>
      <c r="Q48" s="131"/>
    </row>
    <row r="49" spans="1:17" ht="12.75">
      <c r="A49" s="22"/>
      <c r="B49" s="25"/>
      <c r="C49" s="25">
        <f>+C48+1</f>
        <v>4</v>
      </c>
      <c r="D49" s="16" t="s">
        <v>207</v>
      </c>
      <c r="E49" s="72"/>
      <c r="F49" s="73"/>
      <c r="G49" s="72"/>
      <c r="H49" s="73"/>
      <c r="I49" s="72"/>
      <c r="J49" s="73"/>
      <c r="K49" s="72"/>
      <c r="L49" s="73"/>
      <c r="M49" s="72"/>
      <c r="N49" s="73"/>
      <c r="O49" s="255">
        <v>251</v>
      </c>
      <c r="P49" s="73"/>
      <c r="Q49" s="131"/>
    </row>
    <row r="50" spans="1:17" ht="12.75">
      <c r="A50" s="22"/>
      <c r="B50" s="25"/>
      <c r="C50" s="25">
        <f>+C49+1</f>
        <v>5</v>
      </c>
      <c r="D50" s="13" t="s">
        <v>59</v>
      </c>
      <c r="E50" s="69">
        <v>762</v>
      </c>
      <c r="F50" s="73"/>
      <c r="G50" s="69">
        <v>762</v>
      </c>
      <c r="H50" s="73"/>
      <c r="I50" s="69">
        <v>762</v>
      </c>
      <c r="J50" s="73"/>
      <c r="K50" s="69">
        <v>900</v>
      </c>
      <c r="L50" s="73"/>
      <c r="M50" s="69">
        <v>900</v>
      </c>
      <c r="N50" s="73"/>
      <c r="O50" s="250">
        <v>1060</v>
      </c>
      <c r="P50" s="73"/>
      <c r="Q50" s="131"/>
    </row>
    <row r="51" spans="1:17" ht="13.5" thickBot="1">
      <c r="A51" s="19"/>
      <c r="B51" s="28"/>
      <c r="C51" s="28"/>
      <c r="D51" s="21" t="s">
        <v>20</v>
      </c>
      <c r="E51" s="70"/>
      <c r="F51" s="76">
        <f>SUM(E46:E50)</f>
        <v>3012</v>
      </c>
      <c r="G51" s="70"/>
      <c r="H51" s="76">
        <f>SUM(G46:G50)</f>
        <v>3062</v>
      </c>
      <c r="I51" s="70"/>
      <c r="J51" s="76">
        <f>SUM(I46:I50)</f>
        <v>3217</v>
      </c>
      <c r="K51" s="70"/>
      <c r="L51" s="76">
        <f>SUM(K46:K50)</f>
        <v>3215</v>
      </c>
      <c r="M51" s="70"/>
      <c r="N51" s="71">
        <f>SUM(M46:M50)</f>
        <v>3115</v>
      </c>
      <c r="O51" s="70"/>
      <c r="P51" s="119">
        <f>SUM(O46:O50)</f>
        <v>3466</v>
      </c>
      <c r="Q51" s="131"/>
    </row>
    <row r="52" spans="1:17" ht="13.5" thickBot="1">
      <c r="A52" s="32" t="s">
        <v>60</v>
      </c>
      <c r="B52" s="30" t="s">
        <v>61</v>
      </c>
      <c r="C52" s="30"/>
      <c r="D52" s="31"/>
      <c r="E52" s="81">
        <v>610</v>
      </c>
      <c r="F52" s="80">
        <f>SUM(E52)</f>
        <v>610</v>
      </c>
      <c r="G52" s="81">
        <v>610</v>
      </c>
      <c r="H52" s="80">
        <f>SUM(G52)</f>
        <v>610</v>
      </c>
      <c r="I52" s="81">
        <v>610</v>
      </c>
      <c r="J52" s="80">
        <f>SUM(I52)</f>
        <v>610</v>
      </c>
      <c r="K52" s="81">
        <v>610</v>
      </c>
      <c r="L52" s="80">
        <f>SUM(K52)</f>
        <v>610</v>
      </c>
      <c r="M52" s="81">
        <v>610</v>
      </c>
      <c r="N52" s="233">
        <f>SUM(M52)</f>
        <v>610</v>
      </c>
      <c r="O52" s="261">
        <v>630</v>
      </c>
      <c r="P52" s="252">
        <f>SUM(O52)</f>
        <v>630</v>
      </c>
      <c r="Q52" s="131"/>
    </row>
    <row r="53" spans="1:17" ht="12.75">
      <c r="A53" s="33"/>
      <c r="B53" s="24" t="s">
        <v>62</v>
      </c>
      <c r="C53" s="24"/>
      <c r="D53" s="10"/>
      <c r="E53" s="77"/>
      <c r="F53" s="82">
        <f>SUM(F3:F52)</f>
        <v>64906.88</v>
      </c>
      <c r="G53" s="77"/>
      <c r="H53" s="82">
        <f>SUM(H3:H52)</f>
        <v>65499.88</v>
      </c>
      <c r="I53" s="77"/>
      <c r="J53" s="82">
        <f>SUM(J3:J52)</f>
        <v>66988.88</v>
      </c>
      <c r="K53" s="77"/>
      <c r="L53" s="238">
        <f>SUM(L3:L52)</f>
        <v>71415</v>
      </c>
      <c r="M53" s="248"/>
      <c r="N53" s="82">
        <f>SUM(N3:N52)</f>
        <v>78283</v>
      </c>
      <c r="O53" s="248"/>
      <c r="P53" s="249">
        <f>SUM(P3:P52)</f>
        <v>82037</v>
      </c>
      <c r="Q53" s="134"/>
    </row>
    <row r="54" spans="1:18" ht="13.5" thickBot="1">
      <c r="A54" s="34"/>
      <c r="B54" s="28" t="s">
        <v>63</v>
      </c>
      <c r="C54" s="28"/>
      <c r="D54" s="21"/>
      <c r="E54" s="70"/>
      <c r="F54" s="83">
        <f>+F53-610</f>
        <v>64296.88</v>
      </c>
      <c r="G54" s="70"/>
      <c r="H54" s="83">
        <f>+H53-610</f>
        <v>64889.88</v>
      </c>
      <c r="I54" s="70"/>
      <c r="J54" s="83">
        <f>+J53-610</f>
        <v>66378.88</v>
      </c>
      <c r="K54" s="70"/>
      <c r="L54" s="83">
        <f>+L53-610</f>
        <v>70805</v>
      </c>
      <c r="M54" s="70"/>
      <c r="N54" s="83">
        <f>+N53-610</f>
        <v>77673</v>
      </c>
      <c r="O54" s="70"/>
      <c r="P54" s="35">
        <f>+P53-630</f>
        <v>81407</v>
      </c>
      <c r="Q54" s="121">
        <f>+P54-P38-Q14</f>
        <v>72764</v>
      </c>
      <c r="R54" t="s">
        <v>136</v>
      </c>
    </row>
    <row r="55" spans="1:17" ht="18.75" thickBot="1">
      <c r="A55" s="1" t="s">
        <v>64</v>
      </c>
      <c r="B55" s="36"/>
      <c r="C55" s="36"/>
      <c r="D55" s="36"/>
      <c r="E55" s="279" t="s">
        <v>129</v>
      </c>
      <c r="F55" s="280"/>
      <c r="G55" s="279" t="s">
        <v>130</v>
      </c>
      <c r="H55" s="280"/>
      <c r="I55" s="279" t="s">
        <v>131</v>
      </c>
      <c r="J55" s="280"/>
      <c r="K55" s="279" t="s">
        <v>193</v>
      </c>
      <c r="L55" s="280"/>
      <c r="M55" s="279" t="s">
        <v>201</v>
      </c>
      <c r="N55" s="280"/>
      <c r="O55" s="281" t="s">
        <v>206</v>
      </c>
      <c r="P55" s="282"/>
      <c r="Q55" s="129"/>
    </row>
    <row r="56" spans="1:17" ht="13.5" thickBot="1">
      <c r="A56" s="37" t="s">
        <v>1</v>
      </c>
      <c r="B56" s="38" t="s">
        <v>2</v>
      </c>
      <c r="C56" s="38" t="s">
        <v>3</v>
      </c>
      <c r="D56" s="39" t="s">
        <v>4</v>
      </c>
      <c r="E56" s="84"/>
      <c r="F56" s="85" t="s">
        <v>5</v>
      </c>
      <c r="G56" s="84"/>
      <c r="H56" s="85" t="s">
        <v>5</v>
      </c>
      <c r="I56" s="84"/>
      <c r="J56" s="85" t="s">
        <v>5</v>
      </c>
      <c r="K56" s="84"/>
      <c r="L56" s="85" t="s">
        <v>5</v>
      </c>
      <c r="M56" s="84"/>
      <c r="N56" s="85" t="s">
        <v>5</v>
      </c>
      <c r="O56" s="84"/>
      <c r="P56" s="85" t="s">
        <v>5</v>
      </c>
      <c r="Q56" s="135"/>
    </row>
    <row r="57" spans="1:22" ht="12.75">
      <c r="A57" s="8" t="s">
        <v>6</v>
      </c>
      <c r="B57" s="24" t="s">
        <v>65</v>
      </c>
      <c r="C57" s="24">
        <v>1</v>
      </c>
      <c r="D57" s="10" t="s">
        <v>66</v>
      </c>
      <c r="E57" s="86">
        <v>2627</v>
      </c>
      <c r="F57" s="87"/>
      <c r="G57" s="86">
        <v>2627</v>
      </c>
      <c r="H57" s="87"/>
      <c r="I57" s="86">
        <v>2627</v>
      </c>
      <c r="J57" s="87"/>
      <c r="K57" s="86">
        <f>2650+300</f>
        <v>2950</v>
      </c>
      <c r="L57" s="87"/>
      <c r="M57" s="86">
        <v>2650</v>
      </c>
      <c r="N57" s="87"/>
      <c r="O57" s="86">
        <v>2650</v>
      </c>
      <c r="P57" s="87"/>
      <c r="Q57" s="126"/>
      <c r="T57" s="55"/>
      <c r="U57" s="55"/>
      <c r="V57" s="138"/>
    </row>
    <row r="58" spans="1:22" ht="12.75">
      <c r="A58" s="22"/>
      <c r="B58" s="25"/>
      <c r="C58" s="25">
        <f>+C57+1</f>
        <v>2</v>
      </c>
      <c r="D58" s="16" t="s">
        <v>197</v>
      </c>
      <c r="E58" s="240"/>
      <c r="F58" s="104"/>
      <c r="G58" s="240"/>
      <c r="H58" s="104"/>
      <c r="I58" s="240"/>
      <c r="J58" s="104"/>
      <c r="K58" s="240"/>
      <c r="L58" s="104"/>
      <c r="M58" s="240">
        <v>350</v>
      </c>
      <c r="N58" s="104"/>
      <c r="O58" s="240">
        <v>350</v>
      </c>
      <c r="P58" s="104"/>
      <c r="Q58" s="126"/>
      <c r="T58" s="55"/>
      <c r="U58" s="55"/>
      <c r="V58" s="138"/>
    </row>
    <row r="59" spans="1:22" ht="12.75">
      <c r="A59" s="22"/>
      <c r="B59" s="25"/>
      <c r="C59" s="25">
        <f aca="true" t="shared" si="2" ref="C59:C67">+C58+1</f>
        <v>3</v>
      </c>
      <c r="D59" s="16" t="s">
        <v>67</v>
      </c>
      <c r="E59" s="88">
        <v>250</v>
      </c>
      <c r="F59" s="89"/>
      <c r="G59" s="88">
        <v>250</v>
      </c>
      <c r="H59" s="89"/>
      <c r="I59" s="88">
        <v>250</v>
      </c>
      <c r="J59" s="89"/>
      <c r="K59" s="88">
        <v>250</v>
      </c>
      <c r="L59" s="89"/>
      <c r="M59" s="88">
        <v>250</v>
      </c>
      <c r="N59" s="89"/>
      <c r="O59" s="88">
        <v>250</v>
      </c>
      <c r="P59" s="89"/>
      <c r="Q59" s="126"/>
      <c r="T59" s="55"/>
      <c r="U59" s="55"/>
      <c r="V59" s="139"/>
    </row>
    <row r="60" spans="1:22" ht="12.75">
      <c r="A60" s="11"/>
      <c r="B60" s="26"/>
      <c r="C60" s="25">
        <f t="shared" si="2"/>
        <v>4</v>
      </c>
      <c r="D60" s="13" t="s">
        <v>68</v>
      </c>
      <c r="E60" s="88">
        <v>542</v>
      </c>
      <c r="F60" s="89"/>
      <c r="G60" s="88">
        <v>542</v>
      </c>
      <c r="H60" s="89"/>
      <c r="I60" s="88">
        <v>542</v>
      </c>
      <c r="J60" s="89"/>
      <c r="K60" s="88">
        <v>542</v>
      </c>
      <c r="L60" s="89"/>
      <c r="M60" s="88">
        <v>542</v>
      </c>
      <c r="N60" s="89"/>
      <c r="O60" s="88">
        <v>542</v>
      </c>
      <c r="P60" s="89"/>
      <c r="Q60" s="126"/>
      <c r="T60" s="55"/>
      <c r="U60" s="55"/>
      <c r="V60" s="139"/>
    </row>
    <row r="61" spans="1:22" ht="12.75">
      <c r="A61" s="11"/>
      <c r="B61" s="26"/>
      <c r="C61" s="25">
        <f t="shared" si="2"/>
        <v>5</v>
      </c>
      <c r="D61" s="13" t="s">
        <v>69</v>
      </c>
      <c r="E61" s="88">
        <v>81</v>
      </c>
      <c r="F61" s="90"/>
      <c r="G61" s="88">
        <v>81</v>
      </c>
      <c r="H61" s="90"/>
      <c r="I61" s="88">
        <v>81</v>
      </c>
      <c r="J61" s="90"/>
      <c r="K61" s="88">
        <v>24</v>
      </c>
      <c r="L61" s="90"/>
      <c r="M61" s="88">
        <v>24</v>
      </c>
      <c r="N61" s="90"/>
      <c r="O61" s="88">
        <v>24</v>
      </c>
      <c r="P61" s="90"/>
      <c r="Q61" s="136"/>
      <c r="T61" s="55"/>
      <c r="U61" s="55"/>
      <c r="V61" s="139"/>
    </row>
    <row r="62" spans="1:22" ht="12.75">
      <c r="A62" s="11"/>
      <c r="B62" s="26"/>
      <c r="C62" s="25">
        <f t="shared" si="2"/>
        <v>6</v>
      </c>
      <c r="D62" s="13" t="s">
        <v>70</v>
      </c>
      <c r="E62" s="88">
        <v>0</v>
      </c>
      <c r="F62" s="90"/>
      <c r="G62" s="88">
        <v>0</v>
      </c>
      <c r="H62" s="90"/>
      <c r="I62" s="88">
        <v>925</v>
      </c>
      <c r="J62" s="90"/>
      <c r="K62" s="88">
        <v>0</v>
      </c>
      <c r="L62" s="90"/>
      <c r="M62" s="88">
        <v>657</v>
      </c>
      <c r="N62" s="90"/>
      <c r="O62" s="260">
        <v>1224</v>
      </c>
      <c r="P62" s="90"/>
      <c r="Q62" s="136"/>
      <c r="T62" s="55"/>
      <c r="U62" s="55"/>
      <c r="V62" s="139"/>
    </row>
    <row r="63" spans="1:22" ht="12.75">
      <c r="A63" s="11"/>
      <c r="B63" s="26"/>
      <c r="C63" s="25">
        <f t="shared" si="2"/>
        <v>7</v>
      </c>
      <c r="D63" s="13" t="s">
        <v>71</v>
      </c>
      <c r="E63" s="88">
        <v>306</v>
      </c>
      <c r="F63" s="89"/>
      <c r="G63" s="88">
        <v>306</v>
      </c>
      <c r="H63" s="89"/>
      <c r="I63" s="88">
        <v>306</v>
      </c>
      <c r="J63" s="89"/>
      <c r="K63" s="88">
        <v>306</v>
      </c>
      <c r="L63" s="89"/>
      <c r="M63" s="88">
        <v>306</v>
      </c>
      <c r="N63" s="89"/>
      <c r="O63" s="88">
        <v>306</v>
      </c>
      <c r="P63" s="89"/>
      <c r="Q63" s="126"/>
      <c r="T63" s="55"/>
      <c r="U63" s="55"/>
      <c r="V63" s="139"/>
    </row>
    <row r="64" spans="1:22" ht="12.75">
      <c r="A64" s="11"/>
      <c r="B64" s="26"/>
      <c r="C64" s="25">
        <f t="shared" si="2"/>
        <v>8</v>
      </c>
      <c r="D64" s="13" t="s">
        <v>72</v>
      </c>
      <c r="E64" s="88">
        <v>377</v>
      </c>
      <c r="F64" s="89"/>
      <c r="G64" s="88">
        <v>377</v>
      </c>
      <c r="H64" s="89"/>
      <c r="I64" s="88">
        <f>377+9</f>
        <v>386</v>
      </c>
      <c r="J64" s="89"/>
      <c r="K64" s="88">
        <v>377</v>
      </c>
      <c r="L64" s="89"/>
      <c r="M64" s="88">
        <f>377+12+5</f>
        <v>394</v>
      </c>
      <c r="N64" s="89"/>
      <c r="O64" s="260">
        <f>377+12+5+30</f>
        <v>424</v>
      </c>
      <c r="P64" s="89"/>
      <c r="Q64" s="126"/>
      <c r="T64" s="55"/>
      <c r="U64" s="55"/>
      <c r="V64" s="139"/>
    </row>
    <row r="65" spans="1:22" ht="12.75">
      <c r="A65" s="11"/>
      <c r="B65" s="26"/>
      <c r="C65" s="25">
        <f t="shared" si="2"/>
        <v>9</v>
      </c>
      <c r="D65" s="13" t="s">
        <v>73</v>
      </c>
      <c r="E65" s="88">
        <v>789</v>
      </c>
      <c r="F65" s="89"/>
      <c r="G65" s="88">
        <v>789</v>
      </c>
      <c r="H65" s="89"/>
      <c r="I65" s="88">
        <v>789</v>
      </c>
      <c r="J65" s="89"/>
      <c r="K65" s="88">
        <v>832</v>
      </c>
      <c r="L65" s="89"/>
      <c r="M65" s="88">
        <v>832</v>
      </c>
      <c r="N65" s="89"/>
      <c r="O65" s="88">
        <v>832</v>
      </c>
      <c r="P65" s="89"/>
      <c r="Q65" s="126"/>
      <c r="T65" s="55"/>
      <c r="U65" s="55"/>
      <c r="V65" s="138"/>
    </row>
    <row r="66" spans="1:22" ht="12.75">
      <c r="A66" s="14"/>
      <c r="B66" s="27"/>
      <c r="C66" s="25">
        <f t="shared" si="2"/>
        <v>10</v>
      </c>
      <c r="D66" s="18" t="s">
        <v>186</v>
      </c>
      <c r="E66" s="88"/>
      <c r="F66" s="89"/>
      <c r="G66" s="88"/>
      <c r="H66" s="89"/>
      <c r="I66" s="88"/>
      <c r="J66" s="89"/>
      <c r="K66" s="88"/>
      <c r="L66" s="89"/>
      <c r="M66" s="88">
        <v>400</v>
      </c>
      <c r="N66" s="89"/>
      <c r="O66" s="88">
        <v>400</v>
      </c>
      <c r="P66" s="89"/>
      <c r="Q66" s="126"/>
      <c r="T66" s="55"/>
      <c r="U66" s="55"/>
      <c r="V66" s="138"/>
    </row>
    <row r="67" spans="1:22" ht="12.75">
      <c r="A67" s="14"/>
      <c r="B67" s="27"/>
      <c r="C67" s="25">
        <f t="shared" si="2"/>
        <v>11</v>
      </c>
      <c r="D67" s="18" t="s">
        <v>74</v>
      </c>
      <c r="E67" s="88">
        <v>181</v>
      </c>
      <c r="F67" s="89"/>
      <c r="G67" s="88">
        <v>181</v>
      </c>
      <c r="H67" s="89"/>
      <c r="I67" s="88">
        <v>181</v>
      </c>
      <c r="J67" s="89"/>
      <c r="K67" s="88">
        <v>181</v>
      </c>
      <c r="L67" s="89"/>
      <c r="M67" s="88">
        <v>181</v>
      </c>
      <c r="N67" s="89"/>
      <c r="O67" s="88">
        <v>181</v>
      </c>
      <c r="P67" s="89"/>
      <c r="Q67" s="126"/>
      <c r="T67" s="55"/>
      <c r="U67" s="55"/>
      <c r="V67" s="139"/>
    </row>
    <row r="68" spans="1:22" ht="13.5" thickBot="1">
      <c r="A68" s="14"/>
      <c r="B68" s="27"/>
      <c r="C68" s="27"/>
      <c r="D68" s="18" t="s">
        <v>20</v>
      </c>
      <c r="E68" s="91"/>
      <c r="F68" s="92">
        <f>SUM(E57:E67)</f>
        <v>5153</v>
      </c>
      <c r="G68" s="91"/>
      <c r="H68" s="92">
        <f>SUM(G57:G67)</f>
        <v>5153</v>
      </c>
      <c r="I68" s="91"/>
      <c r="J68" s="92">
        <f>SUM(I57:I67)</f>
        <v>6087</v>
      </c>
      <c r="K68" s="91"/>
      <c r="L68" s="92">
        <f>SUM(K57:K67)</f>
        <v>5462</v>
      </c>
      <c r="M68" s="91"/>
      <c r="N68" s="92">
        <f>SUM(M57:M67)</f>
        <v>6586</v>
      </c>
      <c r="O68" s="91"/>
      <c r="P68" s="239">
        <f>SUM(O57:O67)</f>
        <v>7183</v>
      </c>
      <c r="Q68" s="137"/>
      <c r="T68" s="55"/>
      <c r="U68" s="55"/>
      <c r="V68" s="112"/>
    </row>
    <row r="69" spans="1:22" ht="12.75">
      <c r="A69" s="8" t="s">
        <v>15</v>
      </c>
      <c r="B69" s="24" t="s">
        <v>75</v>
      </c>
      <c r="C69" s="24">
        <v>1</v>
      </c>
      <c r="D69" s="10" t="s">
        <v>76</v>
      </c>
      <c r="E69" s="86">
        <f>25398-22-1407+350</f>
        <v>24319</v>
      </c>
      <c r="F69" s="93"/>
      <c r="G69" s="86">
        <f>25398-22-1407+350</f>
        <v>24319</v>
      </c>
      <c r="H69" s="93"/>
      <c r="I69" s="86">
        <f>25398-22-1407+350</f>
        <v>24319</v>
      </c>
      <c r="J69" s="93"/>
      <c r="K69" s="86">
        <v>25500</v>
      </c>
      <c r="L69" s="93"/>
      <c r="M69" s="86">
        <f>25560+170+28+408+28</f>
        <v>26194</v>
      </c>
      <c r="N69" s="93"/>
      <c r="O69" s="259">
        <f>25560+161+436+28+179</f>
        <v>26364</v>
      </c>
      <c r="P69" s="93"/>
      <c r="Q69" s="138"/>
      <c r="T69" s="55"/>
      <c r="U69" s="55"/>
      <c r="V69" s="138"/>
    </row>
    <row r="70" spans="1:22" ht="12.75">
      <c r="A70" s="11"/>
      <c r="B70" s="26"/>
      <c r="C70" s="26">
        <v>2</v>
      </c>
      <c r="D70" s="13" t="s">
        <v>77</v>
      </c>
      <c r="E70" s="88">
        <v>820</v>
      </c>
      <c r="F70" s="94"/>
      <c r="G70" s="88">
        <v>820</v>
      </c>
      <c r="H70" s="94"/>
      <c r="I70" s="88">
        <v>845</v>
      </c>
      <c r="J70" s="94"/>
      <c r="K70" s="88">
        <v>900</v>
      </c>
      <c r="L70" s="94"/>
      <c r="M70" s="88">
        <v>900</v>
      </c>
      <c r="N70" s="94"/>
      <c r="O70" s="88">
        <v>900</v>
      </c>
      <c r="P70" s="94"/>
      <c r="Q70" s="138"/>
      <c r="T70" s="55"/>
      <c r="U70" s="55"/>
      <c r="V70" s="138"/>
    </row>
    <row r="71" spans="1:22" ht="13.5" thickBot="1">
      <c r="A71" s="19"/>
      <c r="B71" s="28"/>
      <c r="C71" s="28"/>
      <c r="D71" s="21" t="s">
        <v>5</v>
      </c>
      <c r="E71" s="95"/>
      <c r="F71" s="96">
        <f>SUM(E69:E70)</f>
        <v>25139</v>
      </c>
      <c r="G71" s="95"/>
      <c r="H71" s="96">
        <f>SUM(G69:G70)</f>
        <v>25139</v>
      </c>
      <c r="I71" s="95"/>
      <c r="J71" s="96">
        <f>SUM(I69:I70)</f>
        <v>25164</v>
      </c>
      <c r="K71" s="95"/>
      <c r="L71" s="96">
        <f>SUM(K69:K70)</f>
        <v>26400</v>
      </c>
      <c r="M71" s="95"/>
      <c r="N71" s="96">
        <f>SUM(M69:M70)</f>
        <v>27094</v>
      </c>
      <c r="O71" s="95"/>
      <c r="P71" s="40">
        <f>SUM(O69:O70)</f>
        <v>27264</v>
      </c>
      <c r="Q71" s="138"/>
      <c r="T71" s="55"/>
      <c r="U71" s="55"/>
      <c r="V71" s="139"/>
    </row>
    <row r="72" spans="1:22" ht="12.75">
      <c r="A72" s="22" t="s">
        <v>21</v>
      </c>
      <c r="B72" s="25" t="s">
        <v>78</v>
      </c>
      <c r="C72" s="25">
        <v>1</v>
      </c>
      <c r="D72" s="16" t="s">
        <v>79</v>
      </c>
      <c r="E72" s="86">
        <v>1000</v>
      </c>
      <c r="F72" s="87"/>
      <c r="G72" s="86">
        <v>1000</v>
      </c>
      <c r="H72" s="87"/>
      <c r="I72" s="86">
        <v>1000</v>
      </c>
      <c r="J72" s="87"/>
      <c r="K72" s="86">
        <f>120+980</f>
        <v>1100</v>
      </c>
      <c r="L72" s="87"/>
      <c r="M72" s="86">
        <f>120+980+100</f>
        <v>1200</v>
      </c>
      <c r="N72" s="93"/>
      <c r="O72" s="259">
        <f>120+980+149</f>
        <v>1249</v>
      </c>
      <c r="P72" s="93"/>
      <c r="Q72" s="126"/>
      <c r="T72" s="55"/>
      <c r="U72" s="55"/>
      <c r="V72" s="138"/>
    </row>
    <row r="73" spans="1:22" ht="12.75">
      <c r="A73" s="11"/>
      <c r="B73" s="26"/>
      <c r="C73" s="26">
        <v>2</v>
      </c>
      <c r="D73" s="13" t="s">
        <v>189</v>
      </c>
      <c r="E73" s="88">
        <f>750*0.95+0.5</f>
        <v>713</v>
      </c>
      <c r="F73" s="89"/>
      <c r="G73" s="88">
        <f>323+750*0.95+0.5</f>
        <v>1036</v>
      </c>
      <c r="H73" s="89"/>
      <c r="I73" s="88">
        <f>323+750*0.95+0.5</f>
        <v>1036</v>
      </c>
      <c r="J73" s="89"/>
      <c r="K73" s="88">
        <v>750</v>
      </c>
      <c r="L73" s="89"/>
      <c r="M73" s="88">
        <f>750+301.7</f>
        <v>1051.7</v>
      </c>
      <c r="N73" s="94"/>
      <c r="O73" s="88">
        <f>750+301.7</f>
        <v>1051.7</v>
      </c>
      <c r="P73" s="94"/>
      <c r="Q73" s="126"/>
      <c r="T73" s="55"/>
      <c r="U73" s="55"/>
      <c r="V73" s="139"/>
    </row>
    <row r="74" spans="1:22" ht="12.75">
      <c r="A74" s="11"/>
      <c r="B74" s="26"/>
      <c r="C74" s="26">
        <v>3</v>
      </c>
      <c r="D74" s="13" t="s">
        <v>191</v>
      </c>
      <c r="E74" s="88"/>
      <c r="F74" s="89"/>
      <c r="G74" s="88"/>
      <c r="H74" s="89"/>
      <c r="I74" s="88"/>
      <c r="J74" s="89"/>
      <c r="K74" s="88">
        <v>200</v>
      </c>
      <c r="L74" s="89"/>
      <c r="M74" s="88">
        <v>200</v>
      </c>
      <c r="N74" s="94"/>
      <c r="O74" s="88">
        <v>200</v>
      </c>
      <c r="P74" s="94"/>
      <c r="Q74" s="126"/>
      <c r="T74" s="55"/>
      <c r="U74" s="55"/>
      <c r="V74" s="139"/>
    </row>
    <row r="75" spans="1:22" ht="12.75">
      <c r="A75" s="11"/>
      <c r="B75" s="26"/>
      <c r="C75" s="26">
        <v>4</v>
      </c>
      <c r="D75" s="13" t="s">
        <v>192</v>
      </c>
      <c r="E75" s="88">
        <v>360</v>
      </c>
      <c r="F75" s="89"/>
      <c r="G75" s="88">
        <v>360</v>
      </c>
      <c r="H75" s="89"/>
      <c r="I75" s="88">
        <v>360</v>
      </c>
      <c r="J75" s="89"/>
      <c r="K75" s="88">
        <v>400</v>
      </c>
      <c r="L75" s="89"/>
      <c r="M75" s="88">
        <f>400+167</f>
        <v>567</v>
      </c>
      <c r="N75" s="94"/>
      <c r="O75" s="260">
        <f>400+167+101</f>
        <v>668</v>
      </c>
      <c r="P75" s="94"/>
      <c r="Q75" s="126"/>
      <c r="T75" s="55"/>
      <c r="U75" s="55"/>
      <c r="V75" s="139"/>
    </row>
    <row r="76" spans="1:22" ht="12.75">
      <c r="A76" s="11"/>
      <c r="B76" s="26"/>
      <c r="C76" s="26">
        <v>5</v>
      </c>
      <c r="D76" s="13" t="s">
        <v>80</v>
      </c>
      <c r="E76" s="97">
        <v>320</v>
      </c>
      <c r="F76" s="89"/>
      <c r="G76" s="97">
        <v>320</v>
      </c>
      <c r="H76" s="89"/>
      <c r="I76" s="97">
        <v>320</v>
      </c>
      <c r="J76" s="89"/>
      <c r="K76" s="97">
        <v>320</v>
      </c>
      <c r="L76" s="89"/>
      <c r="M76" s="97">
        <f>320+77+50</f>
        <v>447</v>
      </c>
      <c r="N76" s="94"/>
      <c r="O76" s="247">
        <f>323+77+50+50</f>
        <v>500</v>
      </c>
      <c r="P76" s="94"/>
      <c r="Q76" s="126"/>
      <c r="T76" s="55"/>
      <c r="U76" s="55"/>
      <c r="V76" s="139"/>
    </row>
    <row r="77" spans="1:22" ht="13.5" thickBot="1">
      <c r="A77" s="14"/>
      <c r="B77" s="27"/>
      <c r="C77" s="27"/>
      <c r="D77" s="18" t="s">
        <v>20</v>
      </c>
      <c r="E77" s="98"/>
      <c r="F77" s="99">
        <f>SUM(E72:E76)</f>
        <v>2393</v>
      </c>
      <c r="G77" s="98"/>
      <c r="H77" s="99">
        <f>SUM(G72:G76)</f>
        <v>2716</v>
      </c>
      <c r="I77" s="98"/>
      <c r="J77" s="99">
        <f>SUM(I72:I76)</f>
        <v>2716</v>
      </c>
      <c r="K77" s="98"/>
      <c r="L77" s="99">
        <f>SUM(K72:K76)</f>
        <v>2770</v>
      </c>
      <c r="M77" s="98"/>
      <c r="N77" s="99">
        <f>SUM(M72:M76)</f>
        <v>3465.7</v>
      </c>
      <c r="O77" s="98"/>
      <c r="P77" s="245">
        <f>SUM(O72:O76)</f>
        <v>3668.7</v>
      </c>
      <c r="Q77" s="138"/>
      <c r="T77" s="55"/>
      <c r="U77" s="55"/>
      <c r="V77" s="126"/>
    </row>
    <row r="78" spans="1:22" ht="12.75">
      <c r="A78" s="8" t="s">
        <v>37</v>
      </c>
      <c r="B78" s="42" t="s">
        <v>81</v>
      </c>
      <c r="C78" s="24">
        <v>1</v>
      </c>
      <c r="D78" s="10" t="s">
        <v>195</v>
      </c>
      <c r="E78" s="100">
        <v>29500</v>
      </c>
      <c r="F78" s="87"/>
      <c r="G78" s="100">
        <f>29540-2911</f>
        <v>26629</v>
      </c>
      <c r="H78" s="87"/>
      <c r="I78" s="100">
        <f>26100+555</f>
        <v>26655</v>
      </c>
      <c r="J78" s="87"/>
      <c r="K78" s="100">
        <v>100</v>
      </c>
      <c r="L78" s="87"/>
      <c r="M78" s="100">
        <v>600</v>
      </c>
      <c r="N78" s="93"/>
      <c r="O78" s="100">
        <v>600</v>
      </c>
      <c r="P78" s="93"/>
      <c r="Q78" s="126"/>
      <c r="T78" s="53"/>
      <c r="U78" s="112"/>
      <c r="V78" s="112"/>
    </row>
    <row r="79" spans="1:22" ht="12.75">
      <c r="A79" s="14"/>
      <c r="B79" s="27"/>
      <c r="C79" s="25">
        <f aca="true" t="shared" si="3" ref="C79:C98">+C78+1</f>
        <v>2</v>
      </c>
      <c r="D79" s="13" t="s">
        <v>82</v>
      </c>
      <c r="E79" s="97">
        <v>100</v>
      </c>
      <c r="F79" s="101"/>
      <c r="G79" s="97">
        <v>100</v>
      </c>
      <c r="H79" s="101"/>
      <c r="I79" s="97">
        <v>100</v>
      </c>
      <c r="J79" s="101"/>
      <c r="K79" s="97">
        <v>600</v>
      </c>
      <c r="L79" s="101"/>
      <c r="M79" s="97">
        <v>600</v>
      </c>
      <c r="N79" s="99"/>
      <c r="O79" s="247">
        <v>578</v>
      </c>
      <c r="P79" s="99"/>
      <c r="Q79" s="126"/>
      <c r="T79" s="53"/>
      <c r="U79" s="112"/>
      <c r="V79" s="112"/>
    </row>
    <row r="80" spans="1:22" ht="12.75">
      <c r="A80" s="14"/>
      <c r="B80" s="27"/>
      <c r="C80" s="25">
        <f t="shared" si="3"/>
        <v>3</v>
      </c>
      <c r="D80" s="13" t="s">
        <v>125</v>
      </c>
      <c r="E80" s="97">
        <v>500</v>
      </c>
      <c r="F80" s="101"/>
      <c r="G80" s="97">
        <v>500</v>
      </c>
      <c r="H80" s="101"/>
      <c r="I80" s="97">
        <f>231+439</f>
        <v>670</v>
      </c>
      <c r="J80" s="101"/>
      <c r="K80" s="97">
        <v>254</v>
      </c>
      <c r="L80" s="101"/>
      <c r="M80" s="97">
        <v>254</v>
      </c>
      <c r="N80" s="99"/>
      <c r="O80" s="97">
        <v>254</v>
      </c>
      <c r="P80" s="99"/>
      <c r="Q80" s="126"/>
      <c r="T80" s="53"/>
      <c r="U80" s="112"/>
      <c r="V80" s="126"/>
    </row>
    <row r="81" spans="1:22" ht="12.75">
      <c r="A81" s="14"/>
      <c r="B81" s="27"/>
      <c r="C81" s="25">
        <f t="shared" si="3"/>
        <v>4</v>
      </c>
      <c r="D81" s="13" t="s">
        <v>204</v>
      </c>
      <c r="E81" s="98"/>
      <c r="F81" s="101"/>
      <c r="G81" s="98"/>
      <c r="H81" s="101"/>
      <c r="I81" s="98">
        <v>500</v>
      </c>
      <c r="J81" s="101"/>
      <c r="K81" s="98">
        <f>282+300</f>
        <v>582</v>
      </c>
      <c r="L81" s="101"/>
      <c r="M81" s="98">
        <v>1320</v>
      </c>
      <c r="N81" s="99"/>
      <c r="O81" s="98">
        <v>1320</v>
      </c>
      <c r="P81" s="99"/>
      <c r="Q81" s="126"/>
      <c r="T81" s="53"/>
      <c r="U81" s="112"/>
      <c r="V81" s="112"/>
    </row>
    <row r="82" spans="1:22" ht="12.75">
      <c r="A82" s="14"/>
      <c r="B82" s="27"/>
      <c r="C82" s="25">
        <f t="shared" si="3"/>
        <v>5</v>
      </c>
      <c r="D82" s="13" t="s">
        <v>117</v>
      </c>
      <c r="E82" s="98"/>
      <c r="F82" s="101"/>
      <c r="G82" s="98">
        <v>280</v>
      </c>
      <c r="H82" s="101"/>
      <c r="I82" s="98">
        <v>280</v>
      </c>
      <c r="J82" s="101"/>
      <c r="K82" s="98">
        <v>3138</v>
      </c>
      <c r="L82" s="101"/>
      <c r="M82" s="98">
        <v>3195</v>
      </c>
      <c r="N82" s="99"/>
      <c r="O82" s="98">
        <v>3195</v>
      </c>
      <c r="P82" s="99"/>
      <c r="Q82" s="126"/>
      <c r="T82" s="53"/>
      <c r="U82" s="112"/>
      <c r="V82" s="112"/>
    </row>
    <row r="83" spans="1:22" ht="12.75">
      <c r="A83" s="14"/>
      <c r="B83" s="27"/>
      <c r="C83" s="25">
        <f t="shared" si="3"/>
        <v>6</v>
      </c>
      <c r="D83" s="13" t="s">
        <v>118</v>
      </c>
      <c r="E83" s="98"/>
      <c r="F83" s="101"/>
      <c r="G83" s="98">
        <v>150</v>
      </c>
      <c r="H83" s="101"/>
      <c r="I83" s="98">
        <v>100</v>
      </c>
      <c r="J83" s="101"/>
      <c r="K83" s="98">
        <v>400</v>
      </c>
      <c r="L83" s="101"/>
      <c r="M83" s="98">
        <v>588</v>
      </c>
      <c r="N83" s="99"/>
      <c r="O83" s="98">
        <v>588</v>
      </c>
      <c r="P83" s="99"/>
      <c r="Q83" s="126"/>
      <c r="T83" s="53"/>
      <c r="U83" s="112"/>
      <c r="V83" s="126"/>
    </row>
    <row r="84" spans="1:22" ht="12.75">
      <c r="A84" s="14"/>
      <c r="B84" s="27"/>
      <c r="C84" s="25">
        <f t="shared" si="3"/>
        <v>7</v>
      </c>
      <c r="D84" s="13" t="s">
        <v>135</v>
      </c>
      <c r="E84" s="98"/>
      <c r="F84" s="101"/>
      <c r="G84" s="98">
        <v>100</v>
      </c>
      <c r="H84" s="101"/>
      <c r="I84" s="98">
        <v>0</v>
      </c>
      <c r="J84" s="101"/>
      <c r="K84" s="98">
        <v>100</v>
      </c>
      <c r="L84" s="101"/>
      <c r="M84" s="98">
        <v>0</v>
      </c>
      <c r="N84" s="99"/>
      <c r="O84" s="98">
        <v>0</v>
      </c>
      <c r="P84" s="99"/>
      <c r="Q84" s="126"/>
      <c r="T84" s="53"/>
      <c r="U84" s="112"/>
      <c r="V84" s="112"/>
    </row>
    <row r="85" spans="1:22" ht="12.75">
      <c r="A85" s="14"/>
      <c r="B85" s="27"/>
      <c r="C85" s="25">
        <f t="shared" si="3"/>
        <v>8</v>
      </c>
      <c r="D85" s="13" t="s">
        <v>123</v>
      </c>
      <c r="E85" s="98"/>
      <c r="F85" s="101"/>
      <c r="G85" s="98"/>
      <c r="H85" s="101"/>
      <c r="I85" s="98">
        <v>330</v>
      </c>
      <c r="J85" s="101"/>
      <c r="K85" s="98">
        <v>150</v>
      </c>
      <c r="L85" s="101"/>
      <c r="M85" s="98">
        <v>50</v>
      </c>
      <c r="N85" s="99"/>
      <c r="O85" s="41">
        <v>1</v>
      </c>
      <c r="P85" s="99"/>
      <c r="Q85" s="126"/>
      <c r="T85" s="53"/>
      <c r="U85" s="112"/>
      <c r="V85" s="126"/>
    </row>
    <row r="86" spans="1:22" ht="12.75">
      <c r="A86" s="14"/>
      <c r="B86" s="27"/>
      <c r="C86" s="25">
        <f t="shared" si="3"/>
        <v>9</v>
      </c>
      <c r="D86" s="13" t="s">
        <v>132</v>
      </c>
      <c r="E86" s="98"/>
      <c r="F86" s="101"/>
      <c r="G86" s="98"/>
      <c r="H86" s="101"/>
      <c r="I86" s="98"/>
      <c r="J86" s="101"/>
      <c r="K86" s="98">
        <v>3500</v>
      </c>
      <c r="L86" s="101"/>
      <c r="M86" s="98">
        <v>1000</v>
      </c>
      <c r="N86" s="99"/>
      <c r="O86" s="41">
        <v>900</v>
      </c>
      <c r="P86" s="99"/>
      <c r="Q86" s="126"/>
      <c r="T86" s="53"/>
      <c r="U86" s="112"/>
      <c r="V86" s="126"/>
    </row>
    <row r="87" spans="1:22" ht="12.75">
      <c r="A87" s="14"/>
      <c r="B87" s="27"/>
      <c r="C87" s="25">
        <f t="shared" si="3"/>
        <v>10</v>
      </c>
      <c r="D87" s="13" t="s">
        <v>134</v>
      </c>
      <c r="E87" s="98"/>
      <c r="F87" s="101"/>
      <c r="G87" s="98"/>
      <c r="H87" s="101"/>
      <c r="I87" s="98"/>
      <c r="J87" s="101"/>
      <c r="K87" s="98">
        <v>252</v>
      </c>
      <c r="L87" s="101"/>
      <c r="M87" s="98">
        <v>262</v>
      </c>
      <c r="N87" s="99"/>
      <c r="O87" s="98">
        <v>262</v>
      </c>
      <c r="P87" s="99"/>
      <c r="Q87" s="126"/>
      <c r="T87" s="53"/>
      <c r="U87" s="112"/>
      <c r="V87" s="126"/>
    </row>
    <row r="88" spans="1:22" ht="12.75">
      <c r="A88" s="14"/>
      <c r="B88" s="27"/>
      <c r="C88" s="25">
        <f t="shared" si="3"/>
        <v>11</v>
      </c>
      <c r="D88" s="13" t="s">
        <v>187</v>
      </c>
      <c r="E88" s="98"/>
      <c r="F88" s="101"/>
      <c r="G88" s="98"/>
      <c r="H88" s="101"/>
      <c r="I88" s="98"/>
      <c r="J88" s="101"/>
      <c r="K88" s="98">
        <v>1500</v>
      </c>
      <c r="L88" s="101"/>
      <c r="M88" s="98">
        <f>1800+120</f>
        <v>1920</v>
      </c>
      <c r="N88" s="99"/>
      <c r="O88" s="41">
        <f>1800+120+350</f>
        <v>2270</v>
      </c>
      <c r="P88" s="99"/>
      <c r="Q88" s="126"/>
      <c r="T88" s="53"/>
      <c r="U88" s="112"/>
      <c r="V88" s="112"/>
    </row>
    <row r="89" spans="1:22" ht="12.75">
      <c r="A89" s="14"/>
      <c r="B89" s="27"/>
      <c r="C89" s="25">
        <f t="shared" si="3"/>
        <v>12</v>
      </c>
      <c r="D89" s="13" t="s">
        <v>186</v>
      </c>
      <c r="E89" s="98"/>
      <c r="F89" s="101"/>
      <c r="G89" s="98"/>
      <c r="H89" s="101"/>
      <c r="I89" s="98"/>
      <c r="J89" s="101"/>
      <c r="K89" s="98">
        <v>300</v>
      </c>
      <c r="L89" s="101"/>
      <c r="M89" s="98">
        <v>0</v>
      </c>
      <c r="N89" s="99"/>
      <c r="O89" s="98">
        <v>0</v>
      </c>
      <c r="P89" s="99"/>
      <c r="Q89" s="126"/>
      <c r="T89" s="53"/>
      <c r="U89" s="112"/>
      <c r="V89" s="112"/>
    </row>
    <row r="90" spans="1:22" ht="12.75">
      <c r="A90" s="14"/>
      <c r="B90" s="27"/>
      <c r="C90" s="25">
        <f t="shared" si="3"/>
        <v>13</v>
      </c>
      <c r="D90" s="13" t="s">
        <v>196</v>
      </c>
      <c r="E90" s="98"/>
      <c r="F90" s="101"/>
      <c r="G90" s="98"/>
      <c r="H90" s="101"/>
      <c r="I90" s="98"/>
      <c r="J90" s="101"/>
      <c r="K90" s="98">
        <v>50</v>
      </c>
      <c r="L90" s="101"/>
      <c r="M90" s="98">
        <v>120</v>
      </c>
      <c r="N90" s="99"/>
      <c r="O90" s="41">
        <f>82+312</f>
        <v>394</v>
      </c>
      <c r="P90" s="99"/>
      <c r="Q90" s="126"/>
      <c r="T90" s="53"/>
      <c r="U90" s="112"/>
      <c r="V90" s="112"/>
    </row>
    <row r="91" spans="1:22" ht="12.75">
      <c r="A91" s="14"/>
      <c r="B91" s="27"/>
      <c r="C91" s="25">
        <f t="shared" si="3"/>
        <v>14</v>
      </c>
      <c r="D91" s="13" t="s">
        <v>209</v>
      </c>
      <c r="E91" s="98"/>
      <c r="F91" s="101"/>
      <c r="G91" s="98"/>
      <c r="H91" s="101"/>
      <c r="I91" s="98"/>
      <c r="J91" s="101"/>
      <c r="K91" s="98">
        <v>450</v>
      </c>
      <c r="L91" s="101"/>
      <c r="M91" s="98">
        <v>365</v>
      </c>
      <c r="N91" s="99"/>
      <c r="O91" s="41">
        <v>363</v>
      </c>
      <c r="P91" s="99"/>
      <c r="Q91" s="126"/>
      <c r="T91" s="53"/>
      <c r="U91" s="112"/>
      <c r="V91" s="112"/>
    </row>
    <row r="92" spans="1:22" ht="12.75">
      <c r="A92" s="14"/>
      <c r="B92" s="27"/>
      <c r="C92" s="25">
        <f t="shared" si="3"/>
        <v>15</v>
      </c>
      <c r="D92" s="13" t="s">
        <v>194</v>
      </c>
      <c r="E92" s="98"/>
      <c r="F92" s="101"/>
      <c r="G92" s="98"/>
      <c r="H92" s="101"/>
      <c r="I92" s="98"/>
      <c r="J92" s="101"/>
      <c r="K92" s="98"/>
      <c r="L92" s="101"/>
      <c r="M92" s="98">
        <v>150</v>
      </c>
      <c r="N92" s="99"/>
      <c r="O92" s="98">
        <v>150</v>
      </c>
      <c r="P92" s="99"/>
      <c r="Q92" s="126"/>
      <c r="T92" s="53"/>
      <c r="U92" s="112"/>
      <c r="V92" s="112"/>
    </row>
    <row r="93" spans="1:22" ht="12.75">
      <c r="A93" s="14"/>
      <c r="B93" s="27"/>
      <c r="C93" s="25">
        <f t="shared" si="3"/>
        <v>16</v>
      </c>
      <c r="D93" s="13" t="s">
        <v>200</v>
      </c>
      <c r="E93" s="98"/>
      <c r="F93" s="101"/>
      <c r="G93" s="98"/>
      <c r="H93" s="101"/>
      <c r="I93" s="98"/>
      <c r="J93" s="101"/>
      <c r="K93" s="98"/>
      <c r="L93" s="101"/>
      <c r="M93" s="98">
        <v>412</v>
      </c>
      <c r="N93" s="99"/>
      <c r="O93" s="41">
        <v>680</v>
      </c>
      <c r="P93" s="99"/>
      <c r="Q93" s="126"/>
      <c r="T93" s="53"/>
      <c r="U93" s="112"/>
      <c r="V93" s="112"/>
    </row>
    <row r="94" spans="1:22" ht="12.75">
      <c r="A94" s="14"/>
      <c r="B94" s="27"/>
      <c r="C94" s="25">
        <f t="shared" si="3"/>
        <v>17</v>
      </c>
      <c r="D94" s="13" t="s">
        <v>202</v>
      </c>
      <c r="E94" s="98"/>
      <c r="F94" s="101"/>
      <c r="G94" s="98"/>
      <c r="H94" s="101"/>
      <c r="I94" s="98"/>
      <c r="J94" s="101"/>
      <c r="K94" s="98"/>
      <c r="L94" s="101"/>
      <c r="M94" s="98">
        <v>200</v>
      </c>
      <c r="N94" s="99"/>
      <c r="O94" s="41">
        <v>120</v>
      </c>
      <c r="P94" s="99"/>
      <c r="Q94" s="126"/>
      <c r="T94" s="53"/>
      <c r="U94" s="112"/>
      <c r="V94" s="112"/>
    </row>
    <row r="95" spans="1:22" ht="12.75">
      <c r="A95" s="14"/>
      <c r="B95" s="27"/>
      <c r="C95" s="25">
        <f t="shared" si="3"/>
        <v>18</v>
      </c>
      <c r="D95" s="13" t="s">
        <v>205</v>
      </c>
      <c r="E95" s="98"/>
      <c r="F95" s="101"/>
      <c r="G95" s="98"/>
      <c r="H95" s="101"/>
      <c r="I95" s="98"/>
      <c r="J95" s="101"/>
      <c r="K95" s="98"/>
      <c r="L95" s="101"/>
      <c r="M95" s="98">
        <v>370</v>
      </c>
      <c r="N95" s="99"/>
      <c r="O95" s="98">
        <v>370</v>
      </c>
      <c r="P95" s="99"/>
      <c r="Q95" s="126"/>
      <c r="T95" s="53"/>
      <c r="U95" s="112"/>
      <c r="V95" s="112"/>
    </row>
    <row r="96" spans="1:22" ht="12.75">
      <c r="A96" s="14"/>
      <c r="B96" s="27"/>
      <c r="C96" s="25">
        <f t="shared" si="3"/>
        <v>19</v>
      </c>
      <c r="D96" s="13" t="s">
        <v>208</v>
      </c>
      <c r="E96" s="98"/>
      <c r="F96" s="101"/>
      <c r="G96" s="98"/>
      <c r="H96" s="101"/>
      <c r="I96" s="98"/>
      <c r="J96" s="101"/>
      <c r="K96" s="98"/>
      <c r="L96" s="101"/>
      <c r="M96" s="98"/>
      <c r="N96" s="99"/>
      <c r="O96" s="41">
        <v>251</v>
      </c>
      <c r="P96" s="99"/>
      <c r="Q96" s="126"/>
      <c r="T96" s="53"/>
      <c r="U96" s="112"/>
      <c r="V96" s="112"/>
    </row>
    <row r="97" spans="1:22" ht="12.75">
      <c r="A97" s="14"/>
      <c r="B97" s="27"/>
      <c r="C97" s="25">
        <f t="shared" si="3"/>
        <v>20</v>
      </c>
      <c r="D97" s="13" t="s">
        <v>212</v>
      </c>
      <c r="E97" s="98"/>
      <c r="F97" s="101"/>
      <c r="G97" s="98"/>
      <c r="H97" s="101"/>
      <c r="I97" s="98"/>
      <c r="J97" s="101"/>
      <c r="K97" s="98"/>
      <c r="L97" s="101"/>
      <c r="M97" s="98"/>
      <c r="N97" s="99"/>
      <c r="O97" s="41">
        <f>76+224</f>
        <v>300</v>
      </c>
      <c r="P97" s="99"/>
      <c r="Q97" s="126"/>
      <c r="T97" s="53"/>
      <c r="U97" s="112"/>
      <c r="V97" s="112"/>
    </row>
    <row r="98" spans="1:22" ht="12.75">
      <c r="A98" s="14"/>
      <c r="B98" s="27"/>
      <c r="C98" s="25">
        <f t="shared" si="3"/>
        <v>21</v>
      </c>
      <c r="D98" s="13" t="s">
        <v>83</v>
      </c>
      <c r="E98" s="98">
        <v>700</v>
      </c>
      <c r="F98" s="101"/>
      <c r="G98" s="98">
        <v>170</v>
      </c>
      <c r="H98" s="101"/>
      <c r="I98" s="98">
        <v>200</v>
      </c>
      <c r="J98" s="101"/>
      <c r="K98" s="98">
        <v>200</v>
      </c>
      <c r="L98" s="101"/>
      <c r="M98" s="98">
        <v>270</v>
      </c>
      <c r="N98" s="99"/>
      <c r="O98" s="41">
        <f>238+84+148+36-76-1</f>
        <v>429</v>
      </c>
      <c r="P98" s="99"/>
      <c r="Q98" s="126"/>
      <c r="T98" s="53"/>
      <c r="U98" s="112"/>
      <c r="V98" s="112"/>
    </row>
    <row r="99" spans="1:22" ht="13.5" thickBot="1">
      <c r="A99" s="19"/>
      <c r="B99" s="28"/>
      <c r="C99" s="25"/>
      <c r="D99" s="43" t="s">
        <v>20</v>
      </c>
      <c r="E99" s="91"/>
      <c r="F99" s="102">
        <f>SUM(E78:E98)</f>
        <v>30800</v>
      </c>
      <c r="G99" s="91"/>
      <c r="H99" s="102">
        <f>SUM(G78:G98)</f>
        <v>27929</v>
      </c>
      <c r="I99" s="91"/>
      <c r="J99" s="102">
        <f>SUM(I78:I98)</f>
        <v>28835</v>
      </c>
      <c r="K99" s="91"/>
      <c r="L99" s="102">
        <f>SUM(K78:K98)</f>
        <v>11576</v>
      </c>
      <c r="M99" s="91"/>
      <c r="N99" s="96">
        <f>SUM(M78:M98)</f>
        <v>11676</v>
      </c>
      <c r="O99" s="91"/>
      <c r="P99" s="40">
        <f>SUM(O78:O98)</f>
        <v>13025</v>
      </c>
      <c r="Q99" s="126"/>
      <c r="T99" s="53"/>
      <c r="U99" s="112"/>
      <c r="V99" s="112"/>
    </row>
    <row r="100" spans="1:22" ht="12.75">
      <c r="A100" s="8" t="s">
        <v>44</v>
      </c>
      <c r="B100" s="24" t="s">
        <v>84</v>
      </c>
      <c r="C100" s="24">
        <v>1</v>
      </c>
      <c r="D100" s="45" t="s">
        <v>85</v>
      </c>
      <c r="E100" s="103">
        <v>150</v>
      </c>
      <c r="F100" s="104"/>
      <c r="G100" s="103">
        <v>150</v>
      </c>
      <c r="H100" s="104"/>
      <c r="I100" s="103">
        <v>125</v>
      </c>
      <c r="J100" s="104"/>
      <c r="K100" s="103">
        <v>125</v>
      </c>
      <c r="L100" s="104"/>
      <c r="M100" s="103">
        <v>125</v>
      </c>
      <c r="N100" s="114"/>
      <c r="O100" s="267">
        <v>105</v>
      </c>
      <c r="P100" s="114"/>
      <c r="Q100" s="126"/>
      <c r="T100" s="53"/>
      <c r="U100" s="112"/>
      <c r="V100" s="126"/>
    </row>
    <row r="101" spans="1:22" ht="12.75">
      <c r="A101" s="11"/>
      <c r="B101" s="26"/>
      <c r="C101" s="26">
        <f aca="true" t="shared" si="4" ref="C101:C112">+C100+1</f>
        <v>2</v>
      </c>
      <c r="D101" s="13" t="s">
        <v>86</v>
      </c>
      <c r="E101" s="97">
        <v>400</v>
      </c>
      <c r="F101" s="89"/>
      <c r="G101" s="97">
        <v>400</v>
      </c>
      <c r="H101" s="89"/>
      <c r="I101" s="97">
        <v>300</v>
      </c>
      <c r="J101" s="89"/>
      <c r="K101" s="97">
        <v>410</v>
      </c>
      <c r="L101" s="89"/>
      <c r="M101" s="97">
        <v>410</v>
      </c>
      <c r="N101" s="94"/>
      <c r="O101" s="247">
        <v>775</v>
      </c>
      <c r="P101" s="94"/>
      <c r="Q101" s="126"/>
      <c r="T101" s="53"/>
      <c r="U101" s="112"/>
      <c r="V101" s="126"/>
    </row>
    <row r="102" spans="1:22" ht="12.75">
      <c r="A102" s="11"/>
      <c r="B102" s="26"/>
      <c r="C102" s="26">
        <f t="shared" si="4"/>
        <v>3</v>
      </c>
      <c r="D102" s="13" t="s">
        <v>124</v>
      </c>
      <c r="E102" s="97"/>
      <c r="F102" s="89"/>
      <c r="G102" s="97"/>
      <c r="H102" s="89"/>
      <c r="I102" s="97">
        <v>400</v>
      </c>
      <c r="J102" s="89"/>
      <c r="K102" s="97">
        <v>200</v>
      </c>
      <c r="L102" s="89"/>
      <c r="M102" s="97">
        <f>115+198</f>
        <v>313</v>
      </c>
      <c r="N102" s="94"/>
      <c r="O102" s="97">
        <f>115+198</f>
        <v>313</v>
      </c>
      <c r="P102" s="94"/>
      <c r="Q102" s="126"/>
      <c r="T102" s="53"/>
      <c r="U102" s="112"/>
      <c r="V102" s="126"/>
    </row>
    <row r="103" spans="1:22" ht="12.75">
      <c r="A103" s="11"/>
      <c r="B103" s="26"/>
      <c r="C103" s="26">
        <f t="shared" si="4"/>
        <v>4</v>
      </c>
      <c r="D103" s="13" t="s">
        <v>213</v>
      </c>
      <c r="E103" s="97"/>
      <c r="F103" s="89"/>
      <c r="G103" s="97"/>
      <c r="H103" s="89"/>
      <c r="I103" s="97"/>
      <c r="J103" s="89"/>
      <c r="K103" s="97"/>
      <c r="L103" s="89"/>
      <c r="M103" s="97"/>
      <c r="N103" s="94"/>
      <c r="O103" s="247">
        <v>585</v>
      </c>
      <c r="P103" s="94"/>
      <c r="Q103" s="126"/>
      <c r="T103" s="53"/>
      <c r="U103" s="112"/>
      <c r="V103" s="126"/>
    </row>
    <row r="104" spans="1:22" ht="12.75">
      <c r="A104" s="11"/>
      <c r="B104" s="26"/>
      <c r="C104" s="26">
        <f t="shared" si="4"/>
        <v>5</v>
      </c>
      <c r="D104" s="13" t="s">
        <v>190</v>
      </c>
      <c r="E104" s="97"/>
      <c r="F104" s="89"/>
      <c r="G104" s="97"/>
      <c r="H104" s="89"/>
      <c r="I104" s="97"/>
      <c r="J104" s="89"/>
      <c r="K104" s="97">
        <v>0</v>
      </c>
      <c r="L104" s="89"/>
      <c r="M104" s="97">
        <v>287</v>
      </c>
      <c r="N104" s="94"/>
      <c r="O104" s="97">
        <v>287</v>
      </c>
      <c r="P104" s="94"/>
      <c r="Q104" s="126"/>
      <c r="T104" s="53"/>
      <c r="U104" s="112"/>
      <c r="V104" s="126"/>
    </row>
    <row r="105" spans="1:22" ht="12.75">
      <c r="A105" s="11"/>
      <c r="B105" s="26"/>
      <c r="C105" s="26">
        <f t="shared" si="4"/>
        <v>6</v>
      </c>
      <c r="D105" s="13" t="s">
        <v>87</v>
      </c>
      <c r="E105" s="97">
        <v>100</v>
      </c>
      <c r="F105" s="89"/>
      <c r="G105" s="97">
        <v>100</v>
      </c>
      <c r="H105" s="89"/>
      <c r="I105" s="97">
        <v>100</v>
      </c>
      <c r="J105" s="89"/>
      <c r="K105" s="97">
        <v>100</v>
      </c>
      <c r="L105" s="89"/>
      <c r="M105" s="97">
        <v>150</v>
      </c>
      <c r="N105" s="94"/>
      <c r="O105" s="247">
        <v>200</v>
      </c>
      <c r="P105" s="94"/>
      <c r="Q105" s="126"/>
      <c r="T105" s="53"/>
      <c r="U105" s="112"/>
      <c r="V105" s="126"/>
    </row>
    <row r="106" spans="1:22" ht="12.75">
      <c r="A106" s="11"/>
      <c r="B106" s="26"/>
      <c r="C106" s="26">
        <f t="shared" si="4"/>
        <v>7</v>
      </c>
      <c r="D106" s="13" t="s">
        <v>88</v>
      </c>
      <c r="E106" s="97">
        <v>360</v>
      </c>
      <c r="F106" s="89"/>
      <c r="G106" s="97">
        <v>360</v>
      </c>
      <c r="H106" s="89"/>
      <c r="I106" s="97">
        <v>300</v>
      </c>
      <c r="J106" s="89"/>
      <c r="K106" s="97">
        <v>360</v>
      </c>
      <c r="L106" s="89"/>
      <c r="M106" s="97">
        <v>360</v>
      </c>
      <c r="N106" s="94"/>
      <c r="O106" s="247">
        <v>500</v>
      </c>
      <c r="P106" s="94"/>
      <c r="Q106" s="126"/>
      <c r="T106" s="53"/>
      <c r="U106" s="112"/>
      <c r="V106" s="126"/>
    </row>
    <row r="107" spans="1:22" ht="12.75">
      <c r="A107" s="11"/>
      <c r="B107" s="26"/>
      <c r="C107" s="26">
        <f t="shared" si="4"/>
        <v>8</v>
      </c>
      <c r="D107" s="13" t="s">
        <v>89</v>
      </c>
      <c r="E107" s="97">
        <v>5290</v>
      </c>
      <c r="F107" s="89"/>
      <c r="G107" s="97">
        <v>5290</v>
      </c>
      <c r="H107" s="89"/>
      <c r="I107" s="97">
        <v>5290</v>
      </c>
      <c r="J107" s="89"/>
      <c r="K107" s="97">
        <v>4802</v>
      </c>
      <c r="L107" s="89"/>
      <c r="M107" s="97">
        <v>4802</v>
      </c>
      <c r="N107" s="94"/>
      <c r="O107" s="247">
        <v>3900</v>
      </c>
      <c r="P107" s="94"/>
      <c r="Q107" s="126"/>
      <c r="V107" s="126"/>
    </row>
    <row r="108" spans="1:22" ht="12.75">
      <c r="A108" s="11"/>
      <c r="B108" s="26"/>
      <c r="C108" s="26">
        <f t="shared" si="4"/>
        <v>9</v>
      </c>
      <c r="D108" s="13" t="s">
        <v>90</v>
      </c>
      <c r="E108" s="97">
        <v>1350</v>
      </c>
      <c r="F108" s="89"/>
      <c r="G108" s="97">
        <v>1450</v>
      </c>
      <c r="H108" s="89"/>
      <c r="I108" s="97">
        <v>1500</v>
      </c>
      <c r="J108" s="89"/>
      <c r="K108" s="97">
        <v>1600</v>
      </c>
      <c r="L108" s="89"/>
      <c r="M108" s="97">
        <f>1704+295</f>
        <v>1999</v>
      </c>
      <c r="N108" s="94"/>
      <c r="O108" s="247">
        <v>2370</v>
      </c>
      <c r="P108" s="94"/>
      <c r="Q108" s="126"/>
      <c r="V108" s="112"/>
    </row>
    <row r="109" spans="1:22" ht="12.75">
      <c r="A109" s="11"/>
      <c r="B109" s="26"/>
      <c r="C109" s="26">
        <f t="shared" si="4"/>
        <v>10</v>
      </c>
      <c r="D109" s="13" t="s">
        <v>91</v>
      </c>
      <c r="E109" s="97">
        <v>1535</v>
      </c>
      <c r="F109" s="89"/>
      <c r="G109" s="97">
        <v>1535</v>
      </c>
      <c r="H109" s="89"/>
      <c r="I109" s="97">
        <v>1535</v>
      </c>
      <c r="J109" s="89"/>
      <c r="K109" s="97">
        <v>1650</v>
      </c>
      <c r="L109" s="89"/>
      <c r="M109" s="97">
        <v>1650</v>
      </c>
      <c r="N109" s="94"/>
      <c r="O109" s="247">
        <v>1725</v>
      </c>
      <c r="P109" s="94"/>
      <c r="Q109" s="126"/>
      <c r="V109" s="126"/>
    </row>
    <row r="110" spans="1:22" ht="12.75">
      <c r="A110" s="11"/>
      <c r="B110" s="26"/>
      <c r="C110" s="26">
        <f t="shared" si="4"/>
        <v>11</v>
      </c>
      <c r="D110" s="13" t="s">
        <v>92</v>
      </c>
      <c r="E110" s="88">
        <v>542</v>
      </c>
      <c r="F110" s="89"/>
      <c r="G110" s="88">
        <v>542</v>
      </c>
      <c r="H110" s="89"/>
      <c r="I110" s="88">
        <v>542</v>
      </c>
      <c r="J110" s="89"/>
      <c r="K110" s="88">
        <v>550</v>
      </c>
      <c r="L110" s="89"/>
      <c r="M110" s="88">
        <v>596</v>
      </c>
      <c r="N110" s="94"/>
      <c r="O110" s="88">
        <v>596</v>
      </c>
      <c r="P110" s="94"/>
      <c r="Q110" s="126"/>
      <c r="V110" s="126"/>
    </row>
    <row r="111" spans="1:22" ht="12.75">
      <c r="A111" s="14"/>
      <c r="B111" s="27"/>
      <c r="C111" s="26">
        <f t="shared" si="4"/>
        <v>12</v>
      </c>
      <c r="D111" s="18" t="s">
        <v>93</v>
      </c>
      <c r="E111" s="105">
        <v>60</v>
      </c>
      <c r="F111" s="101"/>
      <c r="G111" s="105">
        <v>60</v>
      </c>
      <c r="H111" s="101"/>
      <c r="I111" s="105">
        <v>60</v>
      </c>
      <c r="J111" s="101"/>
      <c r="K111" s="105">
        <v>100</v>
      </c>
      <c r="L111" s="101"/>
      <c r="M111" s="105">
        <v>190</v>
      </c>
      <c r="N111" s="99"/>
      <c r="O111" s="105">
        <v>190</v>
      </c>
      <c r="P111" s="99"/>
      <c r="Q111" s="126"/>
      <c r="V111" s="112"/>
    </row>
    <row r="112" spans="1:22" ht="12.75">
      <c r="A112" s="14"/>
      <c r="B112" s="27"/>
      <c r="C112" s="26">
        <f t="shared" si="4"/>
        <v>13</v>
      </c>
      <c r="D112" s="18" t="s">
        <v>210</v>
      </c>
      <c r="E112" s="105"/>
      <c r="F112" s="101"/>
      <c r="G112" s="105"/>
      <c r="H112" s="101"/>
      <c r="I112" s="105"/>
      <c r="J112" s="101"/>
      <c r="K112" s="105"/>
      <c r="L112" s="101"/>
      <c r="M112" s="105"/>
      <c r="N112" s="99"/>
      <c r="O112" s="258">
        <v>160</v>
      </c>
      <c r="P112" s="99"/>
      <c r="Q112" s="139">
        <f>+O103+O112</f>
        <v>745</v>
      </c>
      <c r="R112" s="232" t="s">
        <v>215</v>
      </c>
      <c r="V112" s="112"/>
    </row>
    <row r="113" spans="1:22" ht="13.5" thickBot="1">
      <c r="A113" s="19"/>
      <c r="B113" s="28"/>
      <c r="C113" s="28"/>
      <c r="D113" s="21" t="s">
        <v>20</v>
      </c>
      <c r="E113" s="91"/>
      <c r="F113" s="96">
        <f>SUM(E100:E111)</f>
        <v>9787</v>
      </c>
      <c r="G113" s="91"/>
      <c r="H113" s="96">
        <f>SUM(G100:G111)</f>
        <v>9887</v>
      </c>
      <c r="I113" s="91"/>
      <c r="J113" s="96">
        <f>SUM(I100:I111)</f>
        <v>10152</v>
      </c>
      <c r="K113" s="91"/>
      <c r="L113" s="96">
        <f>SUM(K100:K111)</f>
        <v>9897</v>
      </c>
      <c r="M113" s="91"/>
      <c r="N113" s="96">
        <f>SUM(M100:M111)</f>
        <v>10882</v>
      </c>
      <c r="O113" s="91"/>
      <c r="P113" s="40">
        <f>SUM(O100:O112)</f>
        <v>11706</v>
      </c>
      <c r="Q113" s="138"/>
      <c r="V113" s="112"/>
    </row>
    <row r="114" spans="1:22" ht="12.75">
      <c r="A114" s="8" t="s">
        <v>50</v>
      </c>
      <c r="B114" s="24" t="s">
        <v>94</v>
      </c>
      <c r="C114" s="24">
        <v>1</v>
      </c>
      <c r="D114" s="10" t="s">
        <v>95</v>
      </c>
      <c r="E114" s="100">
        <v>700</v>
      </c>
      <c r="F114" s="87"/>
      <c r="G114" s="100">
        <v>560</v>
      </c>
      <c r="H114" s="87"/>
      <c r="I114" s="100">
        <v>620</v>
      </c>
      <c r="J114" s="87"/>
      <c r="K114" s="100">
        <v>680</v>
      </c>
      <c r="L114" s="87"/>
      <c r="M114" s="100">
        <v>680</v>
      </c>
      <c r="N114" s="93"/>
      <c r="O114" s="100">
        <v>680</v>
      </c>
      <c r="P114" s="93"/>
      <c r="Q114" s="126"/>
      <c r="V114" s="126"/>
    </row>
    <row r="115" spans="1:22" ht="12.75">
      <c r="A115" s="22"/>
      <c r="B115" s="25"/>
      <c r="C115" s="26">
        <f aca="true" t="shared" si="5" ref="C115:C126">+C114+1</f>
        <v>2</v>
      </c>
      <c r="D115" s="16" t="s">
        <v>96</v>
      </c>
      <c r="E115" s="103">
        <v>90</v>
      </c>
      <c r="F115" s="104"/>
      <c r="G115" s="103">
        <v>90</v>
      </c>
      <c r="H115" s="104"/>
      <c r="I115" s="103">
        <v>90</v>
      </c>
      <c r="J115" s="104"/>
      <c r="K115" s="103">
        <v>90</v>
      </c>
      <c r="L115" s="104"/>
      <c r="M115" s="103">
        <v>90</v>
      </c>
      <c r="N115" s="114"/>
      <c r="O115" s="103">
        <v>90</v>
      </c>
      <c r="P115" s="114"/>
      <c r="Q115" s="126"/>
      <c r="V115" s="112"/>
    </row>
    <row r="116" spans="1:22" ht="12.75">
      <c r="A116" s="22"/>
      <c r="B116" s="25"/>
      <c r="C116" s="26">
        <f t="shared" si="5"/>
        <v>3</v>
      </c>
      <c r="D116" s="13" t="s">
        <v>97</v>
      </c>
      <c r="E116" s="88">
        <v>900</v>
      </c>
      <c r="F116" s="104"/>
      <c r="G116" s="88">
        <v>952</v>
      </c>
      <c r="H116" s="104"/>
      <c r="I116" s="88">
        <v>1300</v>
      </c>
      <c r="J116" s="104"/>
      <c r="K116" s="88">
        <v>1200</v>
      </c>
      <c r="L116" s="104"/>
      <c r="M116" s="88">
        <v>1195</v>
      </c>
      <c r="N116" s="114"/>
      <c r="O116" s="88">
        <v>1195</v>
      </c>
      <c r="P116" s="114"/>
      <c r="Q116" s="126"/>
      <c r="V116" s="126"/>
    </row>
    <row r="117" spans="1:22" ht="12.75">
      <c r="A117" s="11"/>
      <c r="B117" s="26"/>
      <c r="C117" s="26">
        <f t="shared" si="5"/>
        <v>4</v>
      </c>
      <c r="D117" s="13" t="s">
        <v>98</v>
      </c>
      <c r="E117" s="98">
        <f>-10824+1000+325</f>
        <v>-9499</v>
      </c>
      <c r="F117" s="89"/>
      <c r="G117" s="98">
        <f>-10824+570+325+2871-212</f>
        <v>-7270</v>
      </c>
      <c r="H117" s="89"/>
      <c r="I117" s="98">
        <f>-10824+570+325+2911-193-97-35-384</f>
        <v>-7727</v>
      </c>
      <c r="J117" s="89"/>
      <c r="K117" s="98">
        <f>570+531</f>
        <v>1101</v>
      </c>
      <c r="L117" s="89"/>
      <c r="M117" s="98">
        <f>1945+795</f>
        <v>2740</v>
      </c>
      <c r="N117" s="94"/>
      <c r="O117" s="41">
        <f>1945+795+250</f>
        <v>2990</v>
      </c>
      <c r="P117" s="94"/>
      <c r="Q117" s="112"/>
      <c r="R117" s="112"/>
      <c r="S117" s="112"/>
      <c r="V117" s="126"/>
    </row>
    <row r="118" spans="1:22" ht="12.75">
      <c r="A118" s="14"/>
      <c r="B118" s="27"/>
      <c r="C118" s="26">
        <f t="shared" si="5"/>
        <v>5</v>
      </c>
      <c r="D118" s="13" t="s">
        <v>99</v>
      </c>
      <c r="E118" s="105">
        <v>124</v>
      </c>
      <c r="F118" s="101"/>
      <c r="G118" s="105">
        <v>124</v>
      </c>
      <c r="H118" s="101"/>
      <c r="I118" s="105">
        <v>124</v>
      </c>
      <c r="J118" s="101"/>
      <c r="K118" s="105">
        <v>123</v>
      </c>
      <c r="L118" s="101"/>
      <c r="M118" s="105">
        <v>125</v>
      </c>
      <c r="N118" s="99"/>
      <c r="O118" s="105">
        <v>125</v>
      </c>
      <c r="P118" s="99"/>
      <c r="Q118" s="126"/>
      <c r="V118" s="139"/>
    </row>
    <row r="119" spans="1:22" ht="12.75">
      <c r="A119" s="14"/>
      <c r="B119" s="27"/>
      <c r="C119" s="26">
        <f t="shared" si="5"/>
        <v>6</v>
      </c>
      <c r="D119" s="13" t="s">
        <v>188</v>
      </c>
      <c r="E119" s="105">
        <v>482</v>
      </c>
      <c r="F119" s="101"/>
      <c r="G119" s="105">
        <v>482</v>
      </c>
      <c r="H119" s="101"/>
      <c r="I119" s="105">
        <v>497</v>
      </c>
      <c r="J119" s="101"/>
      <c r="K119" s="105">
        <v>100</v>
      </c>
      <c r="L119" s="101"/>
      <c r="M119" s="105">
        <v>141</v>
      </c>
      <c r="N119" s="99"/>
      <c r="O119" s="258">
        <v>146</v>
      </c>
      <c r="P119" s="99"/>
      <c r="Q119" s="126"/>
      <c r="V119" s="138"/>
    </row>
    <row r="120" spans="1:22" ht="12.75">
      <c r="A120" s="14"/>
      <c r="B120" s="27"/>
      <c r="C120" s="26">
        <f t="shared" si="5"/>
        <v>7</v>
      </c>
      <c r="D120" s="13" t="s">
        <v>100</v>
      </c>
      <c r="E120" s="105">
        <v>89</v>
      </c>
      <c r="F120" s="101"/>
      <c r="G120" s="105">
        <v>89</v>
      </c>
      <c r="H120" s="101"/>
      <c r="I120" s="105">
        <v>89</v>
      </c>
      <c r="J120" s="101"/>
      <c r="K120" s="105">
        <v>111</v>
      </c>
      <c r="L120" s="101"/>
      <c r="M120" s="105">
        <v>112</v>
      </c>
      <c r="N120" s="99"/>
      <c r="O120" s="105">
        <v>112</v>
      </c>
      <c r="P120" s="99"/>
      <c r="Q120" s="126"/>
      <c r="V120" s="112"/>
    </row>
    <row r="121" spans="1:22" ht="12.75">
      <c r="A121" s="14"/>
      <c r="B121" s="27"/>
      <c r="C121" s="26">
        <f t="shared" si="5"/>
        <v>8</v>
      </c>
      <c r="D121" s="13" t="s">
        <v>127</v>
      </c>
      <c r="E121" s="105">
        <v>0</v>
      </c>
      <c r="F121" s="101"/>
      <c r="G121" s="105">
        <v>100</v>
      </c>
      <c r="H121" s="101"/>
      <c r="I121" s="105">
        <v>100</v>
      </c>
      <c r="J121" s="101"/>
      <c r="K121" s="105">
        <v>0</v>
      </c>
      <c r="L121" s="101"/>
      <c r="M121" s="105">
        <f>72+70+15</f>
        <v>157</v>
      </c>
      <c r="N121" s="99"/>
      <c r="O121" s="258">
        <v>229</v>
      </c>
      <c r="P121" s="99"/>
      <c r="Q121" s="126"/>
      <c r="V121" s="126"/>
    </row>
    <row r="122" spans="1:22" ht="12.75">
      <c r="A122" s="14"/>
      <c r="B122" s="27"/>
      <c r="C122" s="26">
        <f t="shared" si="5"/>
        <v>9</v>
      </c>
      <c r="D122" s="13" t="s">
        <v>119</v>
      </c>
      <c r="E122" s="105"/>
      <c r="F122" s="101"/>
      <c r="G122" s="105">
        <v>360</v>
      </c>
      <c r="H122" s="101"/>
      <c r="I122" s="105">
        <v>360</v>
      </c>
      <c r="J122" s="101"/>
      <c r="K122" s="105">
        <v>120</v>
      </c>
      <c r="L122" s="101"/>
      <c r="M122" s="105">
        <v>120</v>
      </c>
      <c r="N122" s="99"/>
      <c r="O122" s="258">
        <v>61</v>
      </c>
      <c r="P122" s="99"/>
      <c r="Q122" s="126"/>
      <c r="V122" s="112"/>
    </row>
    <row r="123" spans="1:22" ht="12.75">
      <c r="A123" s="14"/>
      <c r="B123" s="27"/>
      <c r="C123" s="26">
        <f t="shared" si="5"/>
        <v>10</v>
      </c>
      <c r="D123" s="13" t="s">
        <v>120</v>
      </c>
      <c r="E123" s="105"/>
      <c r="F123" s="101"/>
      <c r="G123" s="105">
        <v>251</v>
      </c>
      <c r="H123" s="101"/>
      <c r="I123" s="105">
        <v>251</v>
      </c>
      <c r="J123" s="101"/>
      <c r="K123" s="105">
        <v>232</v>
      </c>
      <c r="L123" s="89"/>
      <c r="M123" s="105">
        <v>232</v>
      </c>
      <c r="N123" s="94"/>
      <c r="O123" s="105">
        <v>232</v>
      </c>
      <c r="P123" s="94"/>
      <c r="Q123" s="126"/>
      <c r="V123" s="139"/>
    </row>
    <row r="124" spans="1:22" ht="12.75">
      <c r="A124" s="14"/>
      <c r="B124" s="27"/>
      <c r="C124" s="26">
        <f t="shared" si="5"/>
        <v>11</v>
      </c>
      <c r="D124" s="13" t="s">
        <v>121</v>
      </c>
      <c r="E124" s="105"/>
      <c r="F124" s="101"/>
      <c r="G124" s="105">
        <v>80</v>
      </c>
      <c r="H124" s="101"/>
      <c r="I124" s="105">
        <v>80</v>
      </c>
      <c r="J124" s="101"/>
      <c r="K124" s="88">
        <v>70</v>
      </c>
      <c r="L124" s="264"/>
      <c r="M124" s="88">
        <v>70</v>
      </c>
      <c r="N124" s="265"/>
      <c r="O124" s="88">
        <v>70</v>
      </c>
      <c r="P124" s="265"/>
      <c r="Q124" s="126"/>
      <c r="V124" s="126"/>
    </row>
    <row r="125" spans="1:22" ht="12.75">
      <c r="A125" s="14"/>
      <c r="B125" s="27"/>
      <c r="C125" s="26">
        <f t="shared" si="5"/>
        <v>12</v>
      </c>
      <c r="D125" s="13" t="s">
        <v>211</v>
      </c>
      <c r="E125" s="105"/>
      <c r="F125" s="101"/>
      <c r="G125" s="105"/>
      <c r="H125" s="101"/>
      <c r="I125" s="105"/>
      <c r="J125" s="101"/>
      <c r="K125" s="263"/>
      <c r="M125" s="263"/>
      <c r="N125" s="234"/>
      <c r="O125" s="266">
        <v>200</v>
      </c>
      <c r="P125" s="234"/>
      <c r="Q125" s="126"/>
      <c r="V125" s="126"/>
    </row>
    <row r="126" spans="1:22" ht="12.75">
      <c r="A126" s="14"/>
      <c r="B126" s="27"/>
      <c r="C126" s="26">
        <f t="shared" si="5"/>
        <v>13</v>
      </c>
      <c r="D126" s="13" t="s">
        <v>122</v>
      </c>
      <c r="E126" s="98">
        <v>704</v>
      </c>
      <c r="F126" s="101"/>
      <c r="G126" s="98">
        <v>373</v>
      </c>
      <c r="H126" s="101"/>
      <c r="I126" s="98">
        <v>359</v>
      </c>
      <c r="J126" s="101"/>
      <c r="K126" s="98">
        <v>510</v>
      </c>
      <c r="L126" s="101"/>
      <c r="M126" s="98">
        <v>372</v>
      </c>
      <c r="N126" s="99"/>
      <c r="O126" s="41">
        <v>390</v>
      </c>
      <c r="P126" s="99"/>
      <c r="Q126" s="126"/>
      <c r="V126" s="139"/>
    </row>
    <row r="127" spans="1:22" ht="13.5" thickBot="1">
      <c r="A127" s="19"/>
      <c r="B127" s="28"/>
      <c r="C127" s="28"/>
      <c r="D127" s="21" t="s">
        <v>20</v>
      </c>
      <c r="E127" s="91"/>
      <c r="F127" s="96">
        <f>SUM(E114:E126)</f>
        <v>-6410</v>
      </c>
      <c r="G127" s="91"/>
      <c r="H127" s="96">
        <f>SUM(G114:G126)</f>
        <v>-3809</v>
      </c>
      <c r="I127" s="91"/>
      <c r="J127" s="96">
        <f>SUM(I114:I126)</f>
        <v>-3857</v>
      </c>
      <c r="K127" s="91"/>
      <c r="L127" s="96">
        <f>SUM(K114:K126)</f>
        <v>4337</v>
      </c>
      <c r="M127" s="91"/>
      <c r="N127" s="96">
        <f>SUM(M114:M126)</f>
        <v>6034</v>
      </c>
      <c r="O127" s="91"/>
      <c r="P127" s="40">
        <f>SUM(O114:O126)</f>
        <v>6520</v>
      </c>
      <c r="Q127" s="138"/>
      <c r="V127" s="139"/>
    </row>
    <row r="128" spans="1:22" ht="13.5" thickBot="1">
      <c r="A128" s="29" t="s">
        <v>52</v>
      </c>
      <c r="B128" s="30" t="s">
        <v>101</v>
      </c>
      <c r="C128" s="30"/>
      <c r="D128" s="31" t="s">
        <v>102</v>
      </c>
      <c r="E128" s="81">
        <v>0</v>
      </c>
      <c r="F128" s="231"/>
      <c r="G128" s="81">
        <v>0</v>
      </c>
      <c r="H128" s="231"/>
      <c r="I128" s="81">
        <v>0</v>
      </c>
      <c r="J128" s="231"/>
      <c r="K128" s="81">
        <v>860</v>
      </c>
      <c r="L128" s="109">
        <f>SUM(K128)</f>
        <v>860</v>
      </c>
      <c r="M128" s="81">
        <v>860</v>
      </c>
      <c r="N128" s="109">
        <f>SUM(M128)</f>
        <v>860</v>
      </c>
      <c r="O128" s="261">
        <f>860+45+1</f>
        <v>906</v>
      </c>
      <c r="P128" s="50">
        <f>SUM(O128)</f>
        <v>906</v>
      </c>
      <c r="Q128" s="126"/>
      <c r="V128" s="139"/>
    </row>
    <row r="129" spans="1:22" ht="13.5" thickBot="1">
      <c r="A129" s="46" t="s">
        <v>54</v>
      </c>
      <c r="B129" s="47" t="s">
        <v>214</v>
      </c>
      <c r="C129" s="47"/>
      <c r="D129" s="43"/>
      <c r="E129" s="106">
        <v>900</v>
      </c>
      <c r="F129" s="107">
        <f>SUM(E129)</f>
        <v>900</v>
      </c>
      <c r="G129" s="106">
        <v>1250</v>
      </c>
      <c r="H129" s="107">
        <f>SUM(G129)</f>
        <v>1250</v>
      </c>
      <c r="I129" s="106">
        <v>1250</v>
      </c>
      <c r="J129" s="107">
        <f>SUM(I129)</f>
        <v>1250</v>
      </c>
      <c r="K129" s="106">
        <v>1000</v>
      </c>
      <c r="L129" s="107">
        <f>SUM(K129)</f>
        <v>1000</v>
      </c>
      <c r="M129" s="106">
        <f>1480+390</f>
        <v>1870</v>
      </c>
      <c r="N129" s="235">
        <f>SUM(M129)</f>
        <v>1870</v>
      </c>
      <c r="O129" s="257">
        <f>2300-585</f>
        <v>1715</v>
      </c>
      <c r="P129" s="254">
        <f>SUM(O129)</f>
        <v>1715</v>
      </c>
      <c r="Q129" s="126"/>
      <c r="V129" s="138"/>
    </row>
    <row r="130" spans="1:22" ht="13.5" thickBot="1">
      <c r="A130" s="48" t="s">
        <v>60</v>
      </c>
      <c r="B130" s="30" t="s">
        <v>61</v>
      </c>
      <c r="C130" s="42"/>
      <c r="D130" s="49"/>
      <c r="E130" s="108">
        <v>610</v>
      </c>
      <c r="F130" s="109">
        <f>SUM(E130)</f>
        <v>610</v>
      </c>
      <c r="G130" s="108">
        <v>610</v>
      </c>
      <c r="H130" s="109">
        <f>SUM(G130)</f>
        <v>610</v>
      </c>
      <c r="I130" s="108">
        <v>610</v>
      </c>
      <c r="J130" s="109">
        <f>SUM(I130)</f>
        <v>610</v>
      </c>
      <c r="K130" s="108">
        <v>610</v>
      </c>
      <c r="L130" s="109">
        <f>SUM(K130)</f>
        <v>610</v>
      </c>
      <c r="M130" s="108">
        <v>610</v>
      </c>
      <c r="N130" s="109">
        <f>SUM(M130)</f>
        <v>610</v>
      </c>
      <c r="O130" s="274">
        <v>630</v>
      </c>
      <c r="P130" s="50">
        <f>SUM(O130)</f>
        <v>630</v>
      </c>
      <c r="Q130" s="138"/>
      <c r="V130" s="139"/>
    </row>
    <row r="131" spans="1:22" ht="12.75">
      <c r="A131" s="33"/>
      <c r="B131" s="24" t="s">
        <v>103</v>
      </c>
      <c r="C131" s="24"/>
      <c r="D131" s="10"/>
      <c r="E131" s="100"/>
      <c r="F131" s="110">
        <f>SUM(F68:F130)</f>
        <v>68372</v>
      </c>
      <c r="G131" s="100"/>
      <c r="H131" s="110">
        <f>SUM(H68:H130)</f>
        <v>68875</v>
      </c>
      <c r="I131" s="100"/>
      <c r="J131" s="110">
        <f>SUM(J68:J130)</f>
        <v>70957</v>
      </c>
      <c r="K131" s="100"/>
      <c r="L131" s="110">
        <f>SUM(L68:L130)</f>
        <v>62912</v>
      </c>
      <c r="M131" s="86"/>
      <c r="N131" s="110">
        <f>SUM(N68:N130)</f>
        <v>69077.7</v>
      </c>
      <c r="O131" s="86"/>
      <c r="P131" s="51">
        <f>SUM(P68:P130)</f>
        <v>72617.7</v>
      </c>
      <c r="Q131" s="54"/>
      <c r="V131" s="138"/>
    </row>
    <row r="132" spans="1:22" ht="13.5" thickBot="1">
      <c r="A132" s="34"/>
      <c r="B132" s="28" t="s">
        <v>104</v>
      </c>
      <c r="C132" s="28"/>
      <c r="D132" s="21"/>
      <c r="E132" s="91"/>
      <c r="F132" s="111">
        <f>+F131-610</f>
        <v>67762</v>
      </c>
      <c r="G132" s="91"/>
      <c r="H132" s="111">
        <f>+H131-610</f>
        <v>68265</v>
      </c>
      <c r="I132" s="91"/>
      <c r="J132" s="111">
        <f>+J131-610</f>
        <v>70347</v>
      </c>
      <c r="K132" s="91"/>
      <c r="L132" s="111">
        <f>+L131-610</f>
        <v>62302</v>
      </c>
      <c r="M132" s="91"/>
      <c r="N132" s="111">
        <f>+N131-610</f>
        <v>68467.7</v>
      </c>
      <c r="O132" s="91"/>
      <c r="P132" s="52">
        <f>+P131-630</f>
        <v>71987.7</v>
      </c>
      <c r="Q132" s="121">
        <f>+P132-P99-Q112</f>
        <v>58217.7</v>
      </c>
      <c r="R132" t="s">
        <v>137</v>
      </c>
      <c r="S132" s="128"/>
      <c r="V132" s="126"/>
    </row>
    <row r="133" spans="1:22" ht="13.5" thickBot="1">
      <c r="A133" s="53"/>
      <c r="B133" s="53"/>
      <c r="C133" s="53"/>
      <c r="D133" s="53"/>
      <c r="E133" s="112"/>
      <c r="F133" s="113"/>
      <c r="G133" s="112"/>
      <c r="H133" s="113"/>
      <c r="I133" s="112"/>
      <c r="J133" s="113"/>
      <c r="K133" s="112"/>
      <c r="L133" s="113"/>
      <c r="M133" s="112"/>
      <c r="N133" s="113"/>
      <c r="O133" s="112"/>
      <c r="P133" s="54"/>
      <c r="Q133" s="121">
        <f>Q54-Q132</f>
        <v>14546.300000000003</v>
      </c>
      <c r="R133" t="s">
        <v>138</v>
      </c>
      <c r="S133" s="128"/>
      <c r="V133" s="112"/>
    </row>
    <row r="134" spans="1:22" ht="13.5" thickBot="1">
      <c r="A134" s="55"/>
      <c r="B134" s="56" t="s">
        <v>105</v>
      </c>
      <c r="C134" s="272"/>
      <c r="D134" s="273"/>
      <c r="E134" s="109"/>
      <c r="F134" s="109">
        <f>+F54-F132</f>
        <v>-3465.1200000000026</v>
      </c>
      <c r="G134" s="109"/>
      <c r="H134" s="109">
        <f>+H54-H132</f>
        <v>-3375.1200000000026</v>
      </c>
      <c r="I134" s="109"/>
      <c r="J134" s="109">
        <f>+J54-J132</f>
        <v>-3968.1199999999953</v>
      </c>
      <c r="K134" s="109"/>
      <c r="L134" s="109">
        <f>+L54-L132</f>
        <v>8503</v>
      </c>
      <c r="M134" s="109"/>
      <c r="N134" s="109">
        <f>+N54-N132</f>
        <v>9205.300000000003</v>
      </c>
      <c r="O134" s="109"/>
      <c r="P134" s="50">
        <f>+P54-P132</f>
        <v>9419.300000000003</v>
      </c>
      <c r="Q134" s="141">
        <f>+Q133/Q54</f>
        <v>0.1999106701115937</v>
      </c>
      <c r="R134" t="s">
        <v>139</v>
      </c>
      <c r="S134" s="128"/>
      <c r="V134" s="140"/>
    </row>
    <row r="135" spans="2:22" ht="12.75">
      <c r="B135" s="57" t="s">
        <v>106</v>
      </c>
      <c r="C135" s="63" t="s">
        <v>107</v>
      </c>
      <c r="D135" s="268"/>
      <c r="E135" s="269">
        <f>-606-224-3000-1875-2873</f>
        <v>-8578</v>
      </c>
      <c r="F135" s="270"/>
      <c r="G135" s="269">
        <f>-606-224-3000-1875-2873-130</f>
        <v>-8708</v>
      </c>
      <c r="H135" s="270"/>
      <c r="I135" s="269">
        <f>-606-224-3000-1875-2873-143</f>
        <v>-8721</v>
      </c>
      <c r="J135" s="270"/>
      <c r="K135" s="269">
        <f>-234-2400-2500-244-3125</f>
        <v>-8503</v>
      </c>
      <c r="L135" s="270"/>
      <c r="M135" s="269">
        <f>-609-2727-2500-244-3125</f>
        <v>-9205</v>
      </c>
      <c r="N135" s="270"/>
      <c r="O135" s="269">
        <f>-609-2727-2500-244-3125</f>
        <v>-9205</v>
      </c>
      <c r="P135" s="271"/>
      <c r="Q135" s="138"/>
      <c r="V135" s="112"/>
    </row>
    <row r="136" spans="2:22" ht="13.5" thickBot="1">
      <c r="B136" s="61" t="s">
        <v>108</v>
      </c>
      <c r="C136" s="34" t="s">
        <v>109</v>
      </c>
      <c r="D136" s="62"/>
      <c r="E136" s="95">
        <v>-27</v>
      </c>
      <c r="F136" s="96">
        <f>SUM(E135:E136)</f>
        <v>-8605</v>
      </c>
      <c r="G136" s="95">
        <v>0</v>
      </c>
      <c r="H136" s="96">
        <f>SUM(G135:G136)</f>
        <v>-8708</v>
      </c>
      <c r="I136" s="95">
        <v>400</v>
      </c>
      <c r="J136" s="96">
        <f>SUM(I135:I136)</f>
        <v>-8321</v>
      </c>
      <c r="K136" s="95">
        <v>0</v>
      </c>
      <c r="L136" s="96">
        <f>SUM(K135:K136)</f>
        <v>-8503</v>
      </c>
      <c r="M136" s="95"/>
      <c r="N136" s="96">
        <f>SUM(M135:M136)</f>
        <v>-9205</v>
      </c>
      <c r="O136" s="275">
        <v>-214</v>
      </c>
      <c r="P136" s="40">
        <f>SUM(O135:O136)</f>
        <v>-9419</v>
      </c>
      <c r="Q136" s="121">
        <f>SUM(P134:P136)</f>
        <v>0.3000000000029104</v>
      </c>
      <c r="S136" s="121"/>
      <c r="V136" s="126"/>
    </row>
    <row r="137" spans="2:22" ht="12.75">
      <c r="B137" s="63" t="s">
        <v>110</v>
      </c>
      <c r="C137" s="25"/>
      <c r="D137" s="25"/>
      <c r="E137" s="115">
        <v>3802</v>
      </c>
      <c r="F137" s="114" t="s">
        <v>111</v>
      </c>
      <c r="G137" s="115">
        <v>3802</v>
      </c>
      <c r="H137" s="114" t="s">
        <v>111</v>
      </c>
      <c r="I137" s="115">
        <v>3802</v>
      </c>
      <c r="J137" s="114" t="s">
        <v>111</v>
      </c>
      <c r="K137" s="115">
        <v>2939</v>
      </c>
      <c r="L137" s="114" t="s">
        <v>111</v>
      </c>
      <c r="M137" s="115">
        <v>2939</v>
      </c>
      <c r="N137" s="114" t="s">
        <v>111</v>
      </c>
      <c r="O137" s="115">
        <v>2939</v>
      </c>
      <c r="P137" s="58" t="s">
        <v>111</v>
      </c>
      <c r="Q137" s="138"/>
      <c r="V137" s="138"/>
    </row>
    <row r="138" spans="2:17" ht="12.75">
      <c r="B138" s="59" t="s">
        <v>112</v>
      </c>
      <c r="C138" s="26"/>
      <c r="D138" s="26"/>
      <c r="E138" s="116">
        <f>+E136-E141</f>
        <v>-27</v>
      </c>
      <c r="F138" s="94" t="s">
        <v>111</v>
      </c>
      <c r="G138" s="116">
        <f>+G136-G141</f>
        <v>0</v>
      </c>
      <c r="H138" s="94" t="s">
        <v>111</v>
      </c>
      <c r="I138" s="116">
        <f>+I136-I141</f>
        <v>400</v>
      </c>
      <c r="J138" s="94" t="s">
        <v>111</v>
      </c>
      <c r="K138" s="116">
        <f>+K136-K141</f>
        <v>0</v>
      </c>
      <c r="L138" s="94" t="s">
        <v>111</v>
      </c>
      <c r="M138" s="116">
        <f>+M136-M141</f>
        <v>0</v>
      </c>
      <c r="N138" s="94" t="s">
        <v>111</v>
      </c>
      <c r="O138" s="277">
        <f>+O136-O141</f>
        <v>-214</v>
      </c>
      <c r="P138" s="125" t="s">
        <v>111</v>
      </c>
      <c r="Q138" s="138"/>
    </row>
    <row r="139" spans="2:17" ht="13.5" thickBot="1">
      <c r="B139" s="34" t="s">
        <v>113</v>
      </c>
      <c r="C139" s="28"/>
      <c r="D139" s="28"/>
      <c r="E139" s="117">
        <f>+E137-E138</f>
        <v>3829</v>
      </c>
      <c r="F139" s="96" t="s">
        <v>111</v>
      </c>
      <c r="G139" s="117">
        <f>+G137-G138</f>
        <v>3802</v>
      </c>
      <c r="H139" s="96" t="s">
        <v>111</v>
      </c>
      <c r="I139" s="117">
        <f>+I137-I138</f>
        <v>3402</v>
      </c>
      <c r="J139" s="96" t="s">
        <v>111</v>
      </c>
      <c r="K139" s="117">
        <f>+K137-K138</f>
        <v>2939</v>
      </c>
      <c r="L139" s="96" t="s">
        <v>111</v>
      </c>
      <c r="M139" s="117">
        <f>+M137-M138</f>
        <v>2939</v>
      </c>
      <c r="N139" s="96" t="s">
        <v>111</v>
      </c>
      <c r="O139" s="278">
        <f>+O137-O138</f>
        <v>3153</v>
      </c>
      <c r="P139" s="40" t="s">
        <v>111</v>
      </c>
      <c r="Q139" s="138"/>
    </row>
    <row r="140" spans="2:17" ht="12.75">
      <c r="B140" s="33" t="s">
        <v>114</v>
      </c>
      <c r="C140" s="24"/>
      <c r="D140" s="24"/>
      <c r="E140" s="118">
        <v>198</v>
      </c>
      <c r="F140" s="87" t="s">
        <v>111</v>
      </c>
      <c r="G140" s="118">
        <v>198</v>
      </c>
      <c r="H140" s="87" t="s">
        <v>111</v>
      </c>
      <c r="I140" s="118">
        <v>198</v>
      </c>
      <c r="J140" s="87" t="s">
        <v>111</v>
      </c>
      <c r="K140" s="118">
        <v>250</v>
      </c>
      <c r="L140" s="87" t="s">
        <v>111</v>
      </c>
      <c r="M140" s="118">
        <v>250</v>
      </c>
      <c r="N140" s="87" t="s">
        <v>111</v>
      </c>
      <c r="O140" s="118">
        <v>250</v>
      </c>
      <c r="P140" s="123" t="s">
        <v>111</v>
      </c>
      <c r="Q140" s="126"/>
    </row>
    <row r="141" spans="2:17" ht="12.75">
      <c r="B141" s="59" t="s">
        <v>115</v>
      </c>
      <c r="C141" s="26"/>
      <c r="D141" s="26"/>
      <c r="E141" s="116">
        <f>E130-E52</f>
        <v>0</v>
      </c>
      <c r="F141" s="89" t="s">
        <v>111</v>
      </c>
      <c r="G141" s="116">
        <f>G130-G52</f>
        <v>0</v>
      </c>
      <c r="H141" s="89" t="s">
        <v>111</v>
      </c>
      <c r="I141" s="116">
        <f>I130-I52</f>
        <v>0</v>
      </c>
      <c r="J141" s="89" t="s">
        <v>111</v>
      </c>
      <c r="K141" s="116">
        <f>K130-K52</f>
        <v>0</v>
      </c>
      <c r="L141" s="89" t="s">
        <v>111</v>
      </c>
      <c r="M141" s="116">
        <f>M130-M52</f>
        <v>0</v>
      </c>
      <c r="N141" s="89" t="s">
        <v>111</v>
      </c>
      <c r="O141" s="116">
        <f>O130-O52</f>
        <v>0</v>
      </c>
      <c r="P141" s="124" t="s">
        <v>111</v>
      </c>
      <c r="Q141" s="126"/>
    </row>
    <row r="142" spans="2:17" ht="13.5" thickBot="1">
      <c r="B142" s="34" t="s">
        <v>116</v>
      </c>
      <c r="C142" s="28"/>
      <c r="D142" s="28"/>
      <c r="E142" s="117">
        <f>+E140-E141</f>
        <v>198</v>
      </c>
      <c r="F142" s="102" t="s">
        <v>111</v>
      </c>
      <c r="G142" s="117">
        <f>+G140-G141</f>
        <v>198</v>
      </c>
      <c r="H142" s="102" t="s">
        <v>111</v>
      </c>
      <c r="I142" s="117">
        <f>+I140-I141</f>
        <v>198</v>
      </c>
      <c r="J142" s="102" t="s">
        <v>111</v>
      </c>
      <c r="K142" s="117">
        <f>+K140-K141</f>
        <v>250</v>
      </c>
      <c r="L142" s="102" t="s">
        <v>111</v>
      </c>
      <c r="M142" s="117">
        <f>+M140-M141</f>
        <v>250</v>
      </c>
      <c r="N142" s="102" t="s">
        <v>111</v>
      </c>
      <c r="O142" s="117">
        <f>+O140-O141</f>
        <v>250</v>
      </c>
      <c r="P142" s="44" t="s">
        <v>111</v>
      </c>
      <c r="Q142" s="126"/>
    </row>
    <row r="144" ht="12.75">
      <c r="B144" s="53"/>
    </row>
    <row r="634" ht="12.75">
      <c r="J634" s="120" t="s">
        <v>133</v>
      </c>
    </row>
  </sheetData>
  <sheetProtection/>
  <mergeCells count="12">
    <mergeCell ref="O1:P1"/>
    <mergeCell ref="O55:P55"/>
    <mergeCell ref="M1:N1"/>
    <mergeCell ref="M55:N55"/>
    <mergeCell ref="K1:L1"/>
    <mergeCell ref="K55:L55"/>
    <mergeCell ref="E55:F55"/>
    <mergeCell ref="G55:H55"/>
    <mergeCell ref="I55:J55"/>
    <mergeCell ref="I1:J1"/>
    <mergeCell ref="G1:H1"/>
    <mergeCell ref="E1:F1"/>
  </mergeCells>
  <printOptions/>
  <pageMargins left="0.8661417322834646" right="0.4330708661417323" top="0.5118110236220472" bottom="0.35433070866141736" header="0.2755905511811024" footer="0.2755905511811024"/>
  <pageSetup horizontalDpi="600" verticalDpi="600" orientation="portrait" paperSize="9" scale="75" r:id="rId1"/>
  <headerFooter alignWithMargins="0">
    <oddHeader>&amp;C&amp;"Arial Black,Obyčejné"&amp;12IV.úprava rozpočtu města Blovice na rok 2013 schválená ZM 23.10.2013</oddHeader>
    <oddFooter>&amp;Rsestavil: Ing.Hodek</oddFooter>
  </headerFooter>
  <rowBreaks count="1" manualBreakCount="1">
    <brk id="5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93"/>
  <sheetViews>
    <sheetView tabSelected="1" zoomScalePageLayoutView="0" workbookViewId="0" topLeftCell="A1">
      <selection activeCell="C70" sqref="C70"/>
    </sheetView>
  </sheetViews>
  <sheetFormatPr defaultColWidth="8.8515625" defaultRowHeight="12.75"/>
  <cols>
    <col min="1" max="1" width="4.7109375" style="143" customWidth="1"/>
    <col min="2" max="2" width="26.57421875" style="143" customWidth="1"/>
    <col min="3" max="3" width="9.28125" style="143" customWidth="1"/>
    <col min="4" max="4" width="9.57421875" style="143" bestFit="1" customWidth="1"/>
    <col min="5" max="16384" width="8.8515625" style="143" customWidth="1"/>
  </cols>
  <sheetData>
    <row r="2" ht="18.75" thickBot="1">
      <c r="A2" s="142" t="s">
        <v>141</v>
      </c>
    </row>
    <row r="3" spans="1:7" ht="13.5" thickBot="1">
      <c r="A3" s="144" t="s">
        <v>1</v>
      </c>
      <c r="B3" s="145" t="s">
        <v>2</v>
      </c>
      <c r="C3" s="146" t="s">
        <v>198</v>
      </c>
      <c r="D3" s="146">
        <v>2013</v>
      </c>
      <c r="E3" s="146">
        <v>2014</v>
      </c>
      <c r="F3" s="146">
        <v>2015</v>
      </c>
      <c r="G3" s="146">
        <v>2016</v>
      </c>
    </row>
    <row r="4" spans="1:7" ht="12.75">
      <c r="A4" s="147" t="s">
        <v>6</v>
      </c>
      <c r="B4" s="148" t="s">
        <v>142</v>
      </c>
      <c r="C4" s="149">
        <v>17239</v>
      </c>
      <c r="D4" s="149">
        <v>20087</v>
      </c>
      <c r="E4" s="149">
        <v>11305</v>
      </c>
      <c r="F4" s="149">
        <f aca="true" t="shared" si="0" ref="F4:G7">+E4*1.01</f>
        <v>11418.05</v>
      </c>
      <c r="G4" s="149">
        <f t="shared" si="0"/>
        <v>11532.2305</v>
      </c>
    </row>
    <row r="5" spans="1:7" ht="12.75">
      <c r="A5" s="150" t="s">
        <v>15</v>
      </c>
      <c r="B5" s="151" t="s">
        <v>143</v>
      </c>
      <c r="C5" s="149">
        <v>31104</v>
      </c>
      <c r="D5" s="149">
        <v>39415</v>
      </c>
      <c r="E5" s="149">
        <v>40670</v>
      </c>
      <c r="F5" s="149">
        <f t="shared" si="0"/>
        <v>41076.7</v>
      </c>
      <c r="G5" s="149">
        <f t="shared" si="0"/>
        <v>41487.467</v>
      </c>
    </row>
    <row r="6" spans="1:7" ht="12.75">
      <c r="A6" s="150" t="s">
        <v>21</v>
      </c>
      <c r="B6" s="151" t="s">
        <v>144</v>
      </c>
      <c r="C6" s="149">
        <v>6092</v>
      </c>
      <c r="D6" s="149">
        <v>7550</v>
      </c>
      <c r="E6" s="149">
        <v>7550</v>
      </c>
      <c r="F6" s="149">
        <f t="shared" si="0"/>
        <v>7625.5</v>
      </c>
      <c r="G6" s="149">
        <f t="shared" si="0"/>
        <v>7701.755</v>
      </c>
    </row>
    <row r="7" spans="1:7" ht="12.75">
      <c r="A7" s="150" t="s">
        <v>37</v>
      </c>
      <c r="B7" s="151" t="s">
        <v>145</v>
      </c>
      <c r="C7" s="149">
        <v>4245</v>
      </c>
      <c r="D7" s="149">
        <v>4504</v>
      </c>
      <c r="E7" s="149">
        <v>1916</v>
      </c>
      <c r="F7" s="149">
        <f t="shared" si="0"/>
        <v>1935.16</v>
      </c>
      <c r="G7" s="149">
        <f t="shared" si="0"/>
        <v>1954.5116</v>
      </c>
    </row>
    <row r="8" spans="1:7" ht="12.75">
      <c r="A8" s="150" t="s">
        <v>44</v>
      </c>
      <c r="B8" s="151" t="s">
        <v>146</v>
      </c>
      <c r="C8" s="149">
        <v>1398</v>
      </c>
      <c r="D8" s="149">
        <v>4185</v>
      </c>
      <c r="E8" s="149">
        <v>4185</v>
      </c>
      <c r="F8" s="149">
        <f>+E8*1.01</f>
        <v>4226.85</v>
      </c>
      <c r="G8" s="149">
        <f>+F8*1.01</f>
        <v>4269.1185000000005</v>
      </c>
    </row>
    <row r="9" spans="1:7" ht="12.75">
      <c r="A9" s="150" t="s">
        <v>50</v>
      </c>
      <c r="B9" s="151" t="s">
        <v>147</v>
      </c>
      <c r="C9" s="149">
        <v>2868</v>
      </c>
      <c r="D9" s="149">
        <v>1850</v>
      </c>
      <c r="E9" s="149">
        <v>1200</v>
      </c>
      <c r="F9" s="149">
        <f>+E9*1.01</f>
        <v>1212</v>
      </c>
      <c r="G9" s="149">
        <f>+F9*1.01</f>
        <v>1224.1200000000001</v>
      </c>
    </row>
    <row r="10" spans="1:7" ht="12.75">
      <c r="A10" s="150" t="s">
        <v>52</v>
      </c>
      <c r="B10" s="151" t="s">
        <v>148</v>
      </c>
      <c r="C10" s="149">
        <v>402</v>
      </c>
      <c r="D10" s="149">
        <v>350</v>
      </c>
      <c r="E10" s="149">
        <v>350</v>
      </c>
      <c r="F10" s="149">
        <v>300</v>
      </c>
      <c r="G10" s="149">
        <v>300</v>
      </c>
    </row>
    <row r="11" spans="1:7" ht="12.75">
      <c r="A11" s="150" t="s">
        <v>54</v>
      </c>
      <c r="B11" s="151" t="s">
        <v>149</v>
      </c>
      <c r="C11" s="149">
        <v>3223</v>
      </c>
      <c r="D11" s="149">
        <v>3466</v>
      </c>
      <c r="E11" s="149">
        <v>3105</v>
      </c>
      <c r="F11" s="149">
        <f>+E11*1.01</f>
        <v>3136.05</v>
      </c>
      <c r="G11" s="149">
        <f>+F11*1.01</f>
        <v>3167.4105000000004</v>
      </c>
    </row>
    <row r="12" spans="1:7" ht="13.5" thickBot="1">
      <c r="A12" s="152" t="s">
        <v>60</v>
      </c>
      <c r="B12" s="153" t="s">
        <v>150</v>
      </c>
      <c r="C12" s="154">
        <v>64733</v>
      </c>
      <c r="D12" s="154">
        <v>630</v>
      </c>
      <c r="E12" s="154">
        <v>630</v>
      </c>
      <c r="F12" s="154">
        <f>+E12*1.01</f>
        <v>636.3</v>
      </c>
      <c r="G12" s="154">
        <f>+F12*1.01</f>
        <v>642.663</v>
      </c>
    </row>
    <row r="13" spans="1:7" ht="13.5" thickBot="1">
      <c r="A13" s="155"/>
      <c r="B13" s="155" t="s">
        <v>108</v>
      </c>
      <c r="C13" s="156">
        <f>SUM(C4:C12)</f>
        <v>131304</v>
      </c>
      <c r="D13" s="156">
        <f>SUM(D4:D12)</f>
        <v>82037</v>
      </c>
      <c r="E13" s="156">
        <f>SUM(E4:E12)</f>
        <v>70911</v>
      </c>
      <c r="F13" s="156">
        <f>SUM(F4:F12)</f>
        <v>71566.61000000002</v>
      </c>
      <c r="G13" s="156">
        <f>SUM(G4:G12)</f>
        <v>72279.27609999999</v>
      </c>
    </row>
    <row r="14" spans="1:7" ht="13.5" thickBot="1">
      <c r="A14" s="157"/>
      <c r="B14" s="158" t="s">
        <v>151</v>
      </c>
      <c r="C14" s="159">
        <v>66571</v>
      </c>
      <c r="D14" s="159">
        <f>+D13-630</f>
        <v>81407</v>
      </c>
      <c r="E14" s="159">
        <f>+E13-630</f>
        <v>70281</v>
      </c>
      <c r="F14" s="159">
        <f>+F13</f>
        <v>71566.61000000002</v>
      </c>
      <c r="G14" s="159">
        <f>+G13</f>
        <v>72279.27609999999</v>
      </c>
    </row>
    <row r="15" spans="2:7" ht="18">
      <c r="B15" s="160"/>
      <c r="C15" s="161"/>
      <c r="D15" s="162"/>
      <c r="E15" s="162"/>
      <c r="F15" s="162"/>
      <c r="G15" s="162"/>
    </row>
    <row r="16" spans="1:7" ht="18.75" thickBot="1">
      <c r="A16" s="160" t="s">
        <v>152</v>
      </c>
      <c r="B16" s="157"/>
      <c r="C16" s="161"/>
      <c r="D16" s="162"/>
      <c r="E16" s="162"/>
      <c r="F16" s="162"/>
      <c r="G16" s="162"/>
    </row>
    <row r="17" spans="1:7" ht="13.5" thickBot="1">
      <c r="A17" s="163" t="s">
        <v>1</v>
      </c>
      <c r="B17" s="164" t="s">
        <v>2</v>
      </c>
      <c r="C17" s="146" t="s">
        <v>198</v>
      </c>
      <c r="D17" s="146">
        <v>2013</v>
      </c>
      <c r="E17" s="146">
        <v>2014</v>
      </c>
      <c r="F17" s="146">
        <v>2015</v>
      </c>
      <c r="G17" s="146">
        <v>2016</v>
      </c>
    </row>
    <row r="18" spans="1:7" ht="12.75">
      <c r="A18" s="165" t="s">
        <v>6</v>
      </c>
      <c r="B18" s="166" t="s">
        <v>153</v>
      </c>
      <c r="C18" s="167">
        <v>6263</v>
      </c>
      <c r="D18" s="167">
        <v>7183</v>
      </c>
      <c r="E18" s="167">
        <v>5291</v>
      </c>
      <c r="F18" s="167">
        <f aca="true" t="shared" si="1" ref="F18:G20">+E18*1.01</f>
        <v>5343.91</v>
      </c>
      <c r="G18" s="167">
        <f t="shared" si="1"/>
        <v>5397.349099999999</v>
      </c>
    </row>
    <row r="19" spans="1:7" ht="12.75">
      <c r="A19" s="150" t="s">
        <v>15</v>
      </c>
      <c r="B19" s="151" t="s">
        <v>154</v>
      </c>
      <c r="C19" s="149">
        <v>24981</v>
      </c>
      <c r="D19" s="149">
        <v>27264</v>
      </c>
      <c r="E19" s="149">
        <v>26896</v>
      </c>
      <c r="F19" s="149">
        <f t="shared" si="1"/>
        <v>27164.96</v>
      </c>
      <c r="G19" s="149">
        <f t="shared" si="1"/>
        <v>27436.6096</v>
      </c>
    </row>
    <row r="20" spans="1:7" ht="12.75">
      <c r="A20" s="150" t="s">
        <v>21</v>
      </c>
      <c r="B20" s="151" t="s">
        <v>155</v>
      </c>
      <c r="C20" s="149">
        <v>3017</v>
      </c>
      <c r="D20" s="149">
        <v>3669</v>
      </c>
      <c r="E20" s="149">
        <v>2850</v>
      </c>
      <c r="F20" s="149">
        <f t="shared" si="1"/>
        <v>2878.5</v>
      </c>
      <c r="G20" s="149">
        <f t="shared" si="1"/>
        <v>2907.285</v>
      </c>
    </row>
    <row r="21" spans="1:7" ht="12.75">
      <c r="A21" s="150" t="s">
        <v>37</v>
      </c>
      <c r="B21" s="151" t="s">
        <v>156</v>
      </c>
      <c r="C21" s="149">
        <v>44652</v>
      </c>
      <c r="D21" s="149">
        <v>13025</v>
      </c>
      <c r="E21" s="149">
        <v>9700</v>
      </c>
      <c r="F21" s="149">
        <v>9800</v>
      </c>
      <c r="G21" s="149">
        <v>10800</v>
      </c>
    </row>
    <row r="22" spans="1:7" ht="12.75">
      <c r="A22" s="150" t="s">
        <v>44</v>
      </c>
      <c r="B22" s="151" t="s">
        <v>157</v>
      </c>
      <c r="C22" s="149">
        <v>11996</v>
      </c>
      <c r="D22" s="149">
        <v>11706</v>
      </c>
      <c r="E22" s="149">
        <v>10280</v>
      </c>
      <c r="F22" s="149">
        <f aca="true" t="shared" si="2" ref="F22:G25">+E22*1.01</f>
        <v>10382.8</v>
      </c>
      <c r="G22" s="149">
        <f t="shared" si="2"/>
        <v>10486.627999999999</v>
      </c>
    </row>
    <row r="23" spans="1:7" ht="12.75">
      <c r="A23" s="150" t="s">
        <v>50</v>
      </c>
      <c r="B23" s="151" t="s">
        <v>158</v>
      </c>
      <c r="C23" s="149">
        <v>-6120</v>
      </c>
      <c r="D23" s="149">
        <v>6520</v>
      </c>
      <c r="E23" s="149">
        <v>5730</v>
      </c>
      <c r="F23" s="149">
        <f t="shared" si="2"/>
        <v>5787.3</v>
      </c>
      <c r="G23" s="149">
        <f t="shared" si="2"/>
        <v>5845.173000000001</v>
      </c>
    </row>
    <row r="24" spans="1:7" ht="12.75">
      <c r="A24" s="150" t="s">
        <v>52</v>
      </c>
      <c r="B24" s="151" t="s">
        <v>159</v>
      </c>
      <c r="C24" s="149">
        <v>845</v>
      </c>
      <c r="D24" s="149">
        <v>906</v>
      </c>
      <c r="E24" s="149">
        <v>900</v>
      </c>
      <c r="F24" s="149">
        <f t="shared" si="2"/>
        <v>909</v>
      </c>
      <c r="G24" s="149">
        <f t="shared" si="2"/>
        <v>918.09</v>
      </c>
    </row>
    <row r="25" spans="1:7" ht="12.75">
      <c r="A25" s="150" t="s">
        <v>54</v>
      </c>
      <c r="B25" s="151" t="s">
        <v>147</v>
      </c>
      <c r="C25" s="149">
        <v>2143</v>
      </c>
      <c r="D25" s="149">
        <v>1715</v>
      </c>
      <c r="E25" s="149">
        <v>1100</v>
      </c>
      <c r="F25" s="149">
        <f t="shared" si="2"/>
        <v>1111</v>
      </c>
      <c r="G25" s="149">
        <f t="shared" si="2"/>
        <v>1122.11</v>
      </c>
    </row>
    <row r="26" spans="1:7" ht="13.5" thickBot="1">
      <c r="A26" s="152" t="s">
        <v>60</v>
      </c>
      <c r="B26" s="153" t="s">
        <v>150</v>
      </c>
      <c r="C26" s="149">
        <v>587</v>
      </c>
      <c r="D26" s="149">
        <v>630</v>
      </c>
      <c r="E26" s="149">
        <v>630</v>
      </c>
      <c r="F26" s="149">
        <f>+E26*1.01</f>
        <v>636.3</v>
      </c>
      <c r="G26" s="149">
        <f>+F26*1.01</f>
        <v>642.663</v>
      </c>
    </row>
    <row r="27" spans="1:7" ht="13.5" thickBot="1">
      <c r="A27" s="155"/>
      <c r="B27" s="168" t="s">
        <v>108</v>
      </c>
      <c r="C27" s="156">
        <v>152458</v>
      </c>
      <c r="D27" s="156">
        <f>SUM(D18:D26)</f>
        <v>72618</v>
      </c>
      <c r="E27" s="156">
        <f>SUM(E18:E26)</f>
        <v>63377</v>
      </c>
      <c r="F27" s="156">
        <f>SUM(F18:F26)</f>
        <v>64013.770000000004</v>
      </c>
      <c r="G27" s="156">
        <f>SUM(G18:G26)</f>
        <v>65555.9077</v>
      </c>
    </row>
    <row r="28" spans="1:7" ht="13.5" thickBot="1">
      <c r="A28" s="169"/>
      <c r="B28" s="170" t="s">
        <v>151</v>
      </c>
      <c r="C28" s="171">
        <v>87725</v>
      </c>
      <c r="D28" s="171">
        <f>+D27-630</f>
        <v>71988</v>
      </c>
      <c r="E28" s="171">
        <f>+E27-630</f>
        <v>62747</v>
      </c>
      <c r="F28" s="171">
        <f>+F27</f>
        <v>64013.770000000004</v>
      </c>
      <c r="G28" s="171">
        <f>+G27</f>
        <v>65555.9077</v>
      </c>
    </row>
    <row r="30" ht="12.75">
      <c r="B30" s="172"/>
    </row>
    <row r="52" spans="2:5" ht="18">
      <c r="B52" s="283" t="s">
        <v>160</v>
      </c>
      <c r="C52" s="283"/>
      <c r="D52" s="283"/>
      <c r="E52" s="283"/>
    </row>
    <row r="53" ht="18.75" thickBot="1">
      <c r="B53" s="173"/>
    </row>
    <row r="54" spans="2:7" ht="13.5" thickBot="1">
      <c r="B54" s="174" t="s">
        <v>161</v>
      </c>
      <c r="C54" s="175" t="s">
        <v>198</v>
      </c>
      <c r="D54" s="175">
        <v>2013</v>
      </c>
      <c r="E54" s="175">
        <v>2014</v>
      </c>
      <c r="F54" s="175">
        <v>2015</v>
      </c>
      <c r="G54" s="175">
        <v>2016</v>
      </c>
    </row>
    <row r="55" spans="2:7" ht="13.5" thickBot="1">
      <c r="B55" s="172"/>
      <c r="C55" s="176"/>
      <c r="D55" s="176"/>
      <c r="E55" s="176"/>
      <c r="F55" s="176"/>
      <c r="G55" s="176"/>
    </row>
    <row r="56" spans="2:7" ht="12.75">
      <c r="B56" s="165" t="s">
        <v>162</v>
      </c>
      <c r="C56" s="177">
        <f>+C14</f>
        <v>66571</v>
      </c>
      <c r="D56" s="177">
        <f>+D14</f>
        <v>81407</v>
      </c>
      <c r="E56" s="177">
        <f>+E14</f>
        <v>70281</v>
      </c>
      <c r="F56" s="177">
        <f>+F14</f>
        <v>71566.61000000002</v>
      </c>
      <c r="G56" s="177">
        <f>+G14</f>
        <v>72279.27609999999</v>
      </c>
    </row>
    <row r="57" spans="2:7" ht="13.5" thickBot="1">
      <c r="B57" s="178" t="s">
        <v>163</v>
      </c>
      <c r="C57" s="179">
        <f>+C28</f>
        <v>87725</v>
      </c>
      <c r="D57" s="179">
        <f>+D28</f>
        <v>71988</v>
      </c>
      <c r="E57" s="179">
        <f>+E28</f>
        <v>62747</v>
      </c>
      <c r="F57" s="179">
        <f>+F28</f>
        <v>64013.770000000004</v>
      </c>
      <c r="G57" s="179">
        <f>+G28</f>
        <v>65555.9077</v>
      </c>
    </row>
    <row r="58" spans="2:7" ht="13.5" thickBot="1">
      <c r="B58" s="155" t="s">
        <v>164</v>
      </c>
      <c r="C58" s="180">
        <f>+C56-C57</f>
        <v>-21154</v>
      </c>
      <c r="D58" s="180">
        <f>+D56-D57</f>
        <v>9419</v>
      </c>
      <c r="E58" s="180">
        <f>+E56-E57</f>
        <v>7534</v>
      </c>
      <c r="F58" s="180">
        <f>+F56-F57</f>
        <v>7552.840000000011</v>
      </c>
      <c r="G58" s="180">
        <f>+G56-G57</f>
        <v>6723.368399999992</v>
      </c>
    </row>
    <row r="59" spans="2:7" ht="13.5" thickBot="1">
      <c r="B59" s="172"/>
      <c r="C59" s="181"/>
      <c r="D59" s="181"/>
      <c r="E59" s="181"/>
      <c r="F59" s="181"/>
      <c r="G59" s="181"/>
    </row>
    <row r="60" spans="2:7" ht="12.75">
      <c r="B60" s="182" t="s">
        <v>165</v>
      </c>
      <c r="C60" s="183">
        <f>967+25000</f>
        <v>25967</v>
      </c>
      <c r="D60" s="184"/>
      <c r="E60" s="184"/>
      <c r="F60" s="184"/>
      <c r="G60" s="184"/>
    </row>
    <row r="61" spans="2:7" ht="12.75">
      <c r="B61" s="185" t="s">
        <v>107</v>
      </c>
      <c r="C61" s="60">
        <v>-5668</v>
      </c>
      <c r="D61" s="186">
        <f>-609-3125-244-2727-2500</f>
        <v>-9205</v>
      </c>
      <c r="E61" s="186">
        <f>-225-2500-3125-184-1500</f>
        <v>-7534</v>
      </c>
      <c r="F61" s="186">
        <f>-232-2500-3125-203-1500</f>
        <v>-7560</v>
      </c>
      <c r="G61" s="187">
        <f>-3125-2500-239-223</f>
        <v>-6087</v>
      </c>
    </row>
    <row r="62" spans="2:7" ht="12.75">
      <c r="B62" s="244" t="s">
        <v>199</v>
      </c>
      <c r="C62" s="241">
        <v>57</v>
      </c>
      <c r="D62" s="242"/>
      <c r="E62" s="242"/>
      <c r="F62" s="242"/>
      <c r="G62" s="243"/>
    </row>
    <row r="63" spans="2:7" ht="13.5" thickBot="1">
      <c r="B63" s="188" t="s">
        <v>166</v>
      </c>
      <c r="C63" s="189">
        <f>798</f>
        <v>798</v>
      </c>
      <c r="D63" s="189">
        <v>-214</v>
      </c>
      <c r="E63" s="189">
        <v>0</v>
      </c>
      <c r="F63" s="189">
        <v>7</v>
      </c>
      <c r="G63" s="189">
        <v>-636</v>
      </c>
    </row>
    <row r="64" spans="2:7" ht="13.5" thickBot="1">
      <c r="B64" s="155" t="s">
        <v>167</v>
      </c>
      <c r="C64" s="190">
        <f>SUM(C60:C63)</f>
        <v>21154</v>
      </c>
      <c r="D64" s="190">
        <f>SUM(D60:D63)</f>
        <v>-9419</v>
      </c>
      <c r="E64" s="190">
        <f>SUM(E60:E63)</f>
        <v>-7534</v>
      </c>
      <c r="F64" s="190">
        <f>SUM(F60:F63)</f>
        <v>-7553</v>
      </c>
      <c r="G64" s="190">
        <f>SUM(G60:G63)</f>
        <v>-6723</v>
      </c>
    </row>
    <row r="65" spans="2:7" ht="13.5" thickBot="1">
      <c r="B65" s="191"/>
      <c r="C65" s="191"/>
      <c r="D65" s="191"/>
      <c r="E65" s="191"/>
      <c r="F65" s="191"/>
      <c r="G65" s="191"/>
    </row>
    <row r="66" spans="2:7" ht="13.5" thickBot="1">
      <c r="B66" s="174" t="s">
        <v>168</v>
      </c>
      <c r="C66" s="180">
        <v>3189</v>
      </c>
      <c r="D66" s="180">
        <f>C66-D63</f>
        <v>3403</v>
      </c>
      <c r="E66" s="180">
        <f>D66-E63</f>
        <v>3403</v>
      </c>
      <c r="F66" s="180">
        <f>E66-F63</f>
        <v>3396</v>
      </c>
      <c r="G66" s="180">
        <f>F66-G63</f>
        <v>4032</v>
      </c>
    </row>
    <row r="67" spans="2:7" ht="13.5" thickBot="1">
      <c r="B67" s="191"/>
      <c r="C67" s="191"/>
      <c r="D67" s="191"/>
      <c r="E67" s="191"/>
      <c r="F67" s="191"/>
      <c r="G67" s="191"/>
    </row>
    <row r="68" spans="2:7" ht="13.5" thickBot="1">
      <c r="B68" s="174" t="s">
        <v>169</v>
      </c>
      <c r="C68" s="192">
        <f>(+C61-1500)/C56</f>
        <v>-0.10767451292604888</v>
      </c>
      <c r="D68" s="192">
        <f>(+D61-1300)/D56</f>
        <v>-0.1290429569938703</v>
      </c>
      <c r="E68" s="192">
        <f>(+E61-1100)/E56</f>
        <v>-0.12284970333376019</v>
      </c>
      <c r="F68" s="192">
        <f>(+F61-1000)/F56</f>
        <v>-0.11960885111087416</v>
      </c>
      <c r="G68" s="192">
        <f>(+G61-900)/G56</f>
        <v>-0.096666712465871</v>
      </c>
    </row>
    <row r="69" spans="3:7" ht="13.5" thickBot="1">
      <c r="C69" s="143" t="s">
        <v>170</v>
      </c>
      <c r="D69" s="143" t="s">
        <v>170</v>
      </c>
      <c r="E69" s="143" t="s">
        <v>170</v>
      </c>
      <c r="F69" s="143" t="s">
        <v>170</v>
      </c>
      <c r="G69" s="143" t="s">
        <v>170</v>
      </c>
    </row>
    <row r="70" spans="2:7" ht="13.5" thickBot="1">
      <c r="B70" s="193" t="s">
        <v>171</v>
      </c>
      <c r="C70" s="194">
        <v>55017</v>
      </c>
      <c r="D70" s="194">
        <f>+C70+D60+D61</f>
        <v>45812</v>
      </c>
      <c r="E70" s="194">
        <f>+D70+E60+E61</f>
        <v>38278</v>
      </c>
      <c r="F70" s="194">
        <f>+E70+F60+F61</f>
        <v>30718</v>
      </c>
      <c r="G70" s="194">
        <f>+F70+G60+G61</f>
        <v>24631</v>
      </c>
    </row>
    <row r="71" ht="12.75">
      <c r="B71" s="143" t="s">
        <v>172</v>
      </c>
    </row>
    <row r="75" ht="15.75">
      <c r="B75" s="195" t="s">
        <v>173</v>
      </c>
    </row>
    <row r="76" spans="2:7" ht="13.5" thickBot="1">
      <c r="B76" s="161" t="s">
        <v>174</v>
      </c>
      <c r="C76" s="196">
        <v>2012</v>
      </c>
      <c r="D76" s="196">
        <v>2013</v>
      </c>
      <c r="E76" s="196">
        <v>2014</v>
      </c>
      <c r="F76" s="196">
        <v>2015</v>
      </c>
      <c r="G76" s="196">
        <v>2016</v>
      </c>
    </row>
    <row r="77" spans="2:7" ht="12.75">
      <c r="B77" s="182" t="s">
        <v>175</v>
      </c>
      <c r="C77" s="197">
        <f>SUM(C5:C6)</f>
        <v>37196</v>
      </c>
      <c r="D77" s="198">
        <f>SUM(D5:D6)</f>
        <v>46965</v>
      </c>
      <c r="E77" s="199">
        <f>SUM(E5:E6)</f>
        <v>48220</v>
      </c>
      <c r="F77" s="199">
        <f>SUM(F5:F6)</f>
        <v>48702.2</v>
      </c>
      <c r="G77" s="199">
        <f>SUM(G5:G6)</f>
        <v>49189.221999999994</v>
      </c>
    </row>
    <row r="78" spans="2:7" ht="12.75">
      <c r="B78" s="60" t="s">
        <v>176</v>
      </c>
      <c r="C78" s="200">
        <f>+C13-C77-C79-C80</f>
        <v>72624</v>
      </c>
      <c r="D78" s="201">
        <f>+D13-D77-D79-D80</f>
        <v>10481</v>
      </c>
      <c r="E78" s="202">
        <f>+E13-E77-E79-E80</f>
        <v>9470</v>
      </c>
      <c r="F78" s="202">
        <f>+F13-F77-F79-F80</f>
        <v>9511.200000000019</v>
      </c>
      <c r="G78" s="202">
        <f>+G13-G77-G79-G80</f>
        <v>9603.311999999993</v>
      </c>
    </row>
    <row r="79" spans="2:7" ht="12.75">
      <c r="B79" s="60" t="s">
        <v>177</v>
      </c>
      <c r="C79" s="200">
        <f>+C7</f>
        <v>4245</v>
      </c>
      <c r="D79" s="201">
        <f>+D7</f>
        <v>4504</v>
      </c>
      <c r="E79" s="202">
        <f>+E7</f>
        <v>1916</v>
      </c>
      <c r="F79" s="202">
        <f>+F7</f>
        <v>1935.16</v>
      </c>
      <c r="G79" s="202">
        <f>+G7</f>
        <v>1954.5116</v>
      </c>
    </row>
    <row r="80" spans="2:7" ht="13.5" thickBot="1">
      <c r="B80" s="203" t="s">
        <v>178</v>
      </c>
      <c r="C80" s="204">
        <f>+C4</f>
        <v>17239</v>
      </c>
      <c r="D80" s="205">
        <f>+D4</f>
        <v>20087</v>
      </c>
      <c r="E80" s="206">
        <f>+E4</f>
        <v>11305</v>
      </c>
      <c r="F80" s="206">
        <f>+F4</f>
        <v>11418.05</v>
      </c>
      <c r="G80" s="206">
        <f>+G4</f>
        <v>11532.2305</v>
      </c>
    </row>
    <row r="81" spans="2:7" ht="12.75">
      <c r="B81" s="207" t="s">
        <v>162</v>
      </c>
      <c r="C81" s="208">
        <f>SUM(C77:C80)</f>
        <v>131304</v>
      </c>
      <c r="D81" s="209">
        <f>SUM(D77:D80)</f>
        <v>82037</v>
      </c>
      <c r="E81" s="210">
        <f>SUM(E77:E80)</f>
        <v>70911</v>
      </c>
      <c r="F81" s="210">
        <f>SUM(F77:F80)</f>
        <v>71566.61000000002</v>
      </c>
      <c r="G81" s="210">
        <f>SUM(G77:G80)</f>
        <v>72279.27609999999</v>
      </c>
    </row>
    <row r="82" spans="2:7" ht="13.5" thickBot="1">
      <c r="B82" s="211" t="s">
        <v>179</v>
      </c>
      <c r="C82" s="212">
        <f>+C81</f>
        <v>131304</v>
      </c>
      <c r="D82" s="213">
        <f>+D81</f>
        <v>82037</v>
      </c>
      <c r="E82" s="214">
        <f>+E81</f>
        <v>70911</v>
      </c>
      <c r="F82" s="214">
        <f>+F81</f>
        <v>71566.61000000002</v>
      </c>
      <c r="G82" s="214">
        <f>+G81</f>
        <v>72279.27609999999</v>
      </c>
    </row>
    <row r="83" spans="3:7" ht="13.5" thickBot="1">
      <c r="C83" s="215"/>
      <c r="D83" s="215"/>
      <c r="E83" s="215"/>
      <c r="F83" s="215"/>
      <c r="G83" s="215"/>
    </row>
    <row r="84" spans="2:7" ht="12.75">
      <c r="B84" s="182" t="s">
        <v>180</v>
      </c>
      <c r="C84" s="197">
        <f>+C27-C21</f>
        <v>107806</v>
      </c>
      <c r="D84" s="198">
        <f>+D27-D21</f>
        <v>59593</v>
      </c>
      <c r="E84" s="197">
        <f>+E27-E21</f>
        <v>53677</v>
      </c>
      <c r="F84" s="197">
        <f>+F27-F21</f>
        <v>54213.770000000004</v>
      </c>
      <c r="G84" s="197">
        <f>+G27-G21</f>
        <v>54755.907699999996</v>
      </c>
    </row>
    <row r="85" spans="2:7" ht="13.5" thickBot="1">
      <c r="B85" s="203" t="s">
        <v>181</v>
      </c>
      <c r="C85" s="216">
        <f>+C21</f>
        <v>44652</v>
      </c>
      <c r="D85" s="217">
        <f>+D21</f>
        <v>13025</v>
      </c>
      <c r="E85" s="218">
        <f>+E21</f>
        <v>9700</v>
      </c>
      <c r="F85" s="218">
        <f>+F21</f>
        <v>9800</v>
      </c>
      <c r="G85" s="218">
        <f>+G21</f>
        <v>10800</v>
      </c>
    </row>
    <row r="86" spans="2:7" ht="12.75">
      <c r="B86" s="219" t="s">
        <v>163</v>
      </c>
      <c r="C86" s="220">
        <f>SUM(C84:C85)</f>
        <v>152458</v>
      </c>
      <c r="D86" s="221">
        <f>SUM(D84:D85)</f>
        <v>72618</v>
      </c>
      <c r="E86" s="222">
        <f>SUM(E84:E85)</f>
        <v>63377</v>
      </c>
      <c r="F86" s="222">
        <f>SUM(F84:F85)</f>
        <v>64013.770000000004</v>
      </c>
      <c r="G86" s="222">
        <f>SUM(G84:G85)</f>
        <v>65555.9077</v>
      </c>
    </row>
    <row r="87" spans="2:7" ht="13.5" thickBot="1">
      <c r="B87" s="211" t="s">
        <v>182</v>
      </c>
      <c r="C87" s="212">
        <f>+C86</f>
        <v>152458</v>
      </c>
      <c r="D87" s="213">
        <f>+D86</f>
        <v>72618</v>
      </c>
      <c r="E87" s="214">
        <f>+E86</f>
        <v>63377</v>
      </c>
      <c r="F87" s="214">
        <f>+F86</f>
        <v>64013.770000000004</v>
      </c>
      <c r="G87" s="214">
        <f>+G86</f>
        <v>65555.9077</v>
      </c>
    </row>
    <row r="88" spans="3:7" ht="13.5" thickBot="1">
      <c r="C88" s="215"/>
      <c r="D88" s="215"/>
      <c r="E88" s="215"/>
      <c r="F88" s="215"/>
      <c r="G88" s="215"/>
    </row>
    <row r="89" spans="2:7" ht="13.5" thickBot="1">
      <c r="B89" s="223" t="s">
        <v>183</v>
      </c>
      <c r="C89" s="224">
        <f>+C82-C87</f>
        <v>-21154</v>
      </c>
      <c r="D89" s="225">
        <f>+D82-D87-1</f>
        <v>9418</v>
      </c>
      <c r="E89" s="226">
        <f>+E82-E87-1</f>
        <v>7533</v>
      </c>
      <c r="F89" s="226">
        <f>+F82-F87-1</f>
        <v>7551.840000000011</v>
      </c>
      <c r="G89" s="226">
        <f>+G82-G87-1</f>
        <v>6722.368399999992</v>
      </c>
    </row>
    <row r="90" spans="2:7" ht="12.75">
      <c r="B90" s="227"/>
      <c r="C90" s="228"/>
      <c r="D90" s="228"/>
      <c r="E90" s="228"/>
      <c r="F90" s="228"/>
      <c r="G90" s="228"/>
    </row>
    <row r="91" spans="2:7" ht="12.75">
      <c r="B91" s="161" t="s">
        <v>184</v>
      </c>
      <c r="C91" s="229">
        <f>+C84/C86</f>
        <v>0.7071193377848325</v>
      </c>
      <c r="D91" s="229">
        <f>+D84/D86</f>
        <v>0.8206367567269823</v>
      </c>
      <c r="E91" s="229">
        <f>+E84/E86</f>
        <v>0.846947630843997</v>
      </c>
      <c r="F91" s="229">
        <f>+F84/F86</f>
        <v>0.8469079387138111</v>
      </c>
      <c r="G91" s="229">
        <f>+G84/G86</f>
        <v>0.8352551222473578</v>
      </c>
    </row>
    <row r="92" spans="2:7" ht="12.75">
      <c r="B92" s="161" t="s">
        <v>185</v>
      </c>
      <c r="C92" s="229">
        <f>+C85/C86</f>
        <v>0.29288066221516745</v>
      </c>
      <c r="D92" s="229">
        <f>+D85/D86</f>
        <v>0.1793632432730177</v>
      </c>
      <c r="E92" s="229">
        <f>+E85/E86</f>
        <v>0.15305236915600295</v>
      </c>
      <c r="F92" s="229">
        <f>+F85/F86</f>
        <v>0.15309206128618888</v>
      </c>
      <c r="G92" s="229">
        <f>+G85/G86</f>
        <v>0.16474487775264227</v>
      </c>
    </row>
    <row r="93" spans="3:4" ht="12.75">
      <c r="C93" s="230"/>
      <c r="D93" s="230"/>
    </row>
  </sheetData>
  <sheetProtection/>
  <mergeCells count="1">
    <mergeCell ref="B52:E52"/>
  </mergeCells>
  <printOptions/>
  <pageMargins left="0.5905511811023623" right="0.4724409448818898" top="0.984251968503937" bottom="0.9055118110236221" header="0.5118110236220472" footer="0.5118110236220472"/>
  <pageSetup horizontalDpi="600" verticalDpi="600" orientation="portrait" paperSize="9" scale="105" r:id="rId2"/>
  <headerFooter alignWithMargins="0">
    <oddHeader>&amp;C&amp;"Arial CE,Tučná kurzíva"&amp;14Úprava rozpočtového výhledu  2013-2016 schválená ZM 23.10.2013</oddHeader>
    <oddFooter>&amp;Rsestavil Ing.Hodek</oddFooter>
  </headerFooter>
  <rowBreaks count="1" manualBreakCount="1">
    <brk id="4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Michal Hodek</cp:lastModifiedBy>
  <cp:lastPrinted>2013-10-25T10:52:27Z</cp:lastPrinted>
  <dcterms:created xsi:type="dcterms:W3CDTF">2012-01-09T10:21:42Z</dcterms:created>
  <dcterms:modified xsi:type="dcterms:W3CDTF">2013-10-25T10:52:30Z</dcterms:modified>
  <cp:category/>
  <cp:version/>
  <cp:contentType/>
  <cp:contentStatus/>
</cp:coreProperties>
</file>