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255" activeTab="0"/>
  </bookViews>
  <sheets>
    <sheet name="Příjmy_Výdaje upravené " sheetId="1" r:id="rId1"/>
    <sheet name="výhled 2013_16" sheetId="2" r:id="rId2"/>
  </sheets>
  <definedNames>
    <definedName name="_xlnm.Print_Area" localSheetId="0">'Příjmy_Výdaje upravené '!$A$1:$F$113</definedName>
    <definedName name="_xlnm.Print_Area" localSheetId="1">'výhled 2013_16'!$A$1:$H$91</definedName>
  </definedNames>
  <calcPr fullCalcOnLoad="1"/>
</workbook>
</file>

<file path=xl/sharedStrings.xml><?xml version="1.0" encoding="utf-8"?>
<sst xmlns="http://schemas.openxmlformats.org/spreadsheetml/2006/main" count="260" uniqueCount="187">
  <si>
    <t>kap</t>
  </si>
  <si>
    <t>titul</t>
  </si>
  <si>
    <t>č.</t>
  </si>
  <si>
    <t>podtitul</t>
  </si>
  <si>
    <t>celkem</t>
  </si>
  <si>
    <t>I.</t>
  </si>
  <si>
    <t>DOTACE</t>
  </si>
  <si>
    <t>výkon st.správy</t>
  </si>
  <si>
    <t>školství (KúPK+obce)</t>
  </si>
  <si>
    <t>soc. dávky</t>
  </si>
  <si>
    <t>vzdělávání eGON (OPLZZ)</t>
  </si>
  <si>
    <t>knihovna - PK</t>
  </si>
  <si>
    <t>dotace z UP na mzdy</t>
  </si>
  <si>
    <t>státní správa lesů</t>
  </si>
  <si>
    <t>vzdělávací program ZŠ (EU)</t>
  </si>
  <si>
    <t xml:space="preserve">ostatní </t>
  </si>
  <si>
    <t>II.</t>
  </si>
  <si>
    <t>DANĚ</t>
  </si>
  <si>
    <t>z nemovitosti</t>
  </si>
  <si>
    <t>sdílené daně</t>
  </si>
  <si>
    <t>daň z P za město</t>
  </si>
  <si>
    <t>Celkem</t>
  </si>
  <si>
    <t>III.</t>
  </si>
  <si>
    <t>Popl.správní</t>
  </si>
  <si>
    <t xml:space="preserve">evidence dopravy </t>
  </si>
  <si>
    <t>evidence obyvatel</t>
  </si>
  <si>
    <t>živnostenské</t>
  </si>
  <si>
    <t>stavební</t>
  </si>
  <si>
    <t>ostatní správní popl.</t>
  </si>
  <si>
    <t xml:space="preserve">VHP </t>
  </si>
  <si>
    <t>VHP</t>
  </si>
  <si>
    <t>Popl.místní</t>
  </si>
  <si>
    <t>ze psů</t>
  </si>
  <si>
    <t>z veřejného pr.</t>
  </si>
  <si>
    <t>vstupné, ubyt.kapacita, ost.</t>
  </si>
  <si>
    <t>likv.odpadu (občané)</t>
  </si>
  <si>
    <t>ostatní poplatky</t>
  </si>
  <si>
    <t>autoškola, ryb.lístky….</t>
  </si>
  <si>
    <t>IV.</t>
  </si>
  <si>
    <t>KAP.PŘÍJMY</t>
  </si>
  <si>
    <t>prodeje pozemků</t>
  </si>
  <si>
    <t>(prodeje)</t>
  </si>
  <si>
    <t>prodeje pozemků Hradiště II</t>
  </si>
  <si>
    <t>prodeje staveb</t>
  </si>
  <si>
    <t>převod od byt.družstva Am.</t>
  </si>
  <si>
    <t>V.</t>
  </si>
  <si>
    <t>NÁJMY</t>
  </si>
  <si>
    <t>nebyt. prostory (KB)</t>
  </si>
  <si>
    <t>ost.nebyt.prostory, pozemky</t>
  </si>
  <si>
    <t>kotelny (TEBYT BTZ)</t>
  </si>
  <si>
    <t>nájem vodovodů a kanal. (ČEVAK)</t>
  </si>
  <si>
    <t>VI.</t>
  </si>
  <si>
    <t>LESY</t>
  </si>
  <si>
    <t>VII.</t>
  </si>
  <si>
    <t>BYT.HOSP - převod</t>
  </si>
  <si>
    <t>VIII.</t>
  </si>
  <si>
    <t>ZVL.PŘÍJMY</t>
  </si>
  <si>
    <t>provoz městs.busu</t>
  </si>
  <si>
    <t>odpad.hospodářství</t>
  </si>
  <si>
    <t>pokuty,sankce</t>
  </si>
  <si>
    <t>ost.nahodilé příjmy</t>
  </si>
  <si>
    <t>IX.</t>
  </si>
  <si>
    <t>FONDOVÉ HOSPODAŘENÍ (SOC.FOND)</t>
  </si>
  <si>
    <t>CELKEM PŘÍJMY PŘED KONS.</t>
  </si>
  <si>
    <t>CELKEM PŘÍJMY PO KONS.</t>
  </si>
  <si>
    <t>běž.příjmy</t>
  </si>
  <si>
    <t xml:space="preserve">Výdaje - tis.Kč </t>
  </si>
  <si>
    <t>ŠKOLSTVÍ</t>
  </si>
  <si>
    <t>ZŠ provoz</t>
  </si>
  <si>
    <t>ZŠ-plavecká učebna</t>
  </si>
  <si>
    <t>ZŠ-ŠJ</t>
  </si>
  <si>
    <t>ZŠ dětské dopr.hřiště</t>
  </si>
  <si>
    <t>ZŠ dotace EU</t>
  </si>
  <si>
    <t>ZUŠ</t>
  </si>
  <si>
    <t>DDM</t>
  </si>
  <si>
    <t>MŠ</t>
  </si>
  <si>
    <t>MŠ-ŠJ</t>
  </si>
  <si>
    <t>SPRÁVA MĚÚ</t>
  </si>
  <si>
    <t>Měú Blovice</t>
  </si>
  <si>
    <t>Městská policie</t>
  </si>
  <si>
    <t>KULTURA/SPORT</t>
  </si>
  <si>
    <t>LD provoz + noviny</t>
  </si>
  <si>
    <t>knihovna</t>
  </si>
  <si>
    <t>ost.spolky+kult.akce</t>
  </si>
  <si>
    <t>ROZVOJ MĚSTA</t>
  </si>
  <si>
    <t xml:space="preserve">"Čistá Berounka" </t>
  </si>
  <si>
    <t>územní plán Blovice</t>
  </si>
  <si>
    <t>infrastruktura Hradiště II</t>
  </si>
  <si>
    <t>Husova rekonstrukce</t>
  </si>
  <si>
    <t>obnova vodovodů</t>
  </si>
  <si>
    <t>radnice - investice</t>
  </si>
  <si>
    <t>kanalizace Na Výsluní</t>
  </si>
  <si>
    <t>ostatní investice</t>
  </si>
  <si>
    <t>ÚDRŽBA MĚSTA</t>
  </si>
  <si>
    <t>voda, kanal., plyn</t>
  </si>
  <si>
    <t>opravy MK+dopr.zn.+havárie</t>
  </si>
  <si>
    <t xml:space="preserve">úklid, zimní údržba </t>
  </si>
  <si>
    <t>zeleň, hřbitov, WC</t>
  </si>
  <si>
    <t>odpad</t>
  </si>
  <si>
    <t>prac.četa města</t>
  </si>
  <si>
    <t>věř.osvětlení</t>
  </si>
  <si>
    <t>JSDH Blovice - provoz (JPOIII)</t>
  </si>
  <si>
    <t>oprava kolowratské kaple</t>
  </si>
  <si>
    <t>RŮZNÉ VÝDAJE</t>
  </si>
  <si>
    <t>dopr.obslužnost+BUS</t>
  </si>
  <si>
    <t>čistírna</t>
  </si>
  <si>
    <t>úroky z úvěrů</t>
  </si>
  <si>
    <t>odvod daně Fú (DPPO+DPH)</t>
  </si>
  <si>
    <t>Mikroregion - fin.spoluúčast</t>
  </si>
  <si>
    <t>nevyuž.dotace 2011</t>
  </si>
  <si>
    <t>"Čistá Berounka" provoz svazku</t>
  </si>
  <si>
    <t>ostatní výdaje</t>
  </si>
  <si>
    <t>SOC.VĚCI</t>
  </si>
  <si>
    <t>peč.služba</t>
  </si>
  <si>
    <t>CELKEM VÝDAJE PŘED KONS.</t>
  </si>
  <si>
    <t>CELKEM VÝDAJE PO KONS.</t>
  </si>
  <si>
    <t>běž.výdaje</t>
  </si>
  <si>
    <t>HV PO KONSOLIDACI</t>
  </si>
  <si>
    <t>provoz.saldo</t>
  </si>
  <si>
    <t>Financování</t>
  </si>
  <si>
    <t>Přijaté úvěry (ČB)</t>
  </si>
  <si>
    <t>saldo/příjmy</t>
  </si>
  <si>
    <t>Splátky úvěrů</t>
  </si>
  <si>
    <t>CELKEM</t>
  </si>
  <si>
    <t>Změna stavu krátk.prostředků</t>
  </si>
  <si>
    <t>Poč.stav prostř.na účtech rozp.hosp.</t>
  </si>
  <si>
    <t>tis.Kč</t>
  </si>
  <si>
    <t>Rozpuštění prostředků rozp.hosp.</t>
  </si>
  <si>
    <t>Kon.stav prostř.na účtech rozp.hosp.</t>
  </si>
  <si>
    <t>Poč.stav prostř.na fondech</t>
  </si>
  <si>
    <t>Rozpuštění prostředků fondů</t>
  </si>
  <si>
    <t xml:space="preserve">Kon.stav prostř.na fondech </t>
  </si>
  <si>
    <t>Sokol + odd.házené</t>
  </si>
  <si>
    <t>kropící vůz</t>
  </si>
  <si>
    <t>chodník Hradiště</t>
  </si>
  <si>
    <t>proj.dokumentace výtah DPS</t>
  </si>
  <si>
    <t>oslava SDH</t>
  </si>
  <si>
    <t xml:space="preserve">Příjmy </t>
  </si>
  <si>
    <t>Dotace</t>
  </si>
  <si>
    <t>Daně</t>
  </si>
  <si>
    <t xml:space="preserve">Poplatky </t>
  </si>
  <si>
    <t>Prodeje</t>
  </si>
  <si>
    <t>Nájmy</t>
  </si>
  <si>
    <t>Lesy</t>
  </si>
  <si>
    <t>BH, převod z FRB</t>
  </si>
  <si>
    <t>Zvl. Příjmy</t>
  </si>
  <si>
    <t>Fondové hospodaření</t>
  </si>
  <si>
    <t>CELKEM PO KONS.</t>
  </si>
  <si>
    <t xml:space="preserve">Výdaje </t>
  </si>
  <si>
    <t>Školství</t>
  </si>
  <si>
    <t>Správa MěÚ</t>
  </si>
  <si>
    <t>Kultura a sport</t>
  </si>
  <si>
    <t>Rozvoj města</t>
  </si>
  <si>
    <t>Údržba města</t>
  </si>
  <si>
    <t>Různé výdaje</t>
  </si>
  <si>
    <t>Soc.věci</t>
  </si>
  <si>
    <t xml:space="preserve">Rekapitulace financování rozpočtu </t>
  </si>
  <si>
    <t>Rok</t>
  </si>
  <si>
    <t>Příjmy celkem</t>
  </si>
  <si>
    <t>Výdaje celkem</t>
  </si>
  <si>
    <t>HV (P-V)</t>
  </si>
  <si>
    <t xml:space="preserve">Přijaté úvěry </t>
  </si>
  <si>
    <t>Rozpuštění prostř.rozp.hosp.</t>
  </si>
  <si>
    <t>Financování celkem</t>
  </si>
  <si>
    <t>Fin.prostř.na b.ú.</t>
  </si>
  <si>
    <t>Dluhová služba v %</t>
  </si>
  <si>
    <t xml:space="preserve"> </t>
  </si>
  <si>
    <t>Objem zadluženosti v tis.Kč</t>
  </si>
  <si>
    <t>(nesplacené úvěry)</t>
  </si>
  <si>
    <t>Členění podle tříd rozpočtu:</t>
  </si>
  <si>
    <t>(tis.Kč)</t>
  </si>
  <si>
    <t>Daňové příjmy</t>
  </si>
  <si>
    <t>Nedaňové příjmy</t>
  </si>
  <si>
    <t>Kapitálové příjmy (prodeje)</t>
  </si>
  <si>
    <t>Přijaté transfery (dotace)</t>
  </si>
  <si>
    <t>Příjmy celkem po kons.</t>
  </si>
  <si>
    <t>Výdaje běžné</t>
  </si>
  <si>
    <t>Výdaje kapitálové (investice)</t>
  </si>
  <si>
    <t>Výdaje celkem po kons.</t>
  </si>
  <si>
    <t>HV (tis.Kč)</t>
  </si>
  <si>
    <t>podíl běžných výdajů na celk.výdajích</t>
  </si>
  <si>
    <t>podíl investic na celkových výdajích</t>
  </si>
  <si>
    <t>rozp.2011</t>
  </si>
  <si>
    <t>100-</t>
  </si>
  <si>
    <t>100+</t>
  </si>
  <si>
    <t>rozpočet 2012</t>
  </si>
  <si>
    <t xml:space="preserve">Příjmy -  tis.Kč </t>
  </si>
</sst>
</file>

<file path=xl/styles.xml><?xml version="1.0" encoding="utf-8"?>
<styleSheet xmlns="http://schemas.openxmlformats.org/spreadsheetml/2006/main">
  <numFmts count="4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0.0000000"/>
    <numFmt numFmtId="167" formatCode="&quot;Kč&quot;#,##0_);\(&quot;Kč&quot;#,##0\)"/>
    <numFmt numFmtId="168" formatCode="&quot;Kč&quot;#,##0_);[Red]\(&quot;Kč&quot;#,##0\)"/>
    <numFmt numFmtId="169" formatCode="&quot;Kč&quot;#,##0.00_);\(&quot;Kč&quot;#,##0.00\)"/>
    <numFmt numFmtId="170" formatCode="&quot;Kč&quot;#,##0.00_);[Red]\(&quot;Kč&quot;#,##0.00\)"/>
    <numFmt numFmtId="171" formatCode="_(&quot;Kč&quot;* #,##0_);_(&quot;Kč&quot;* \(#,##0\);_(&quot;Kč&quot;* &quot;-&quot;_);_(@_)"/>
    <numFmt numFmtId="172" formatCode="_(* #,##0_);_(* \(#,##0\);_(* &quot;-&quot;_);_(@_)"/>
    <numFmt numFmtId="173" formatCode="_(&quot;Kč&quot;* #,##0.00_);_(&quot;Kč&quot;* \(#,##0.00\);_(&quot;Kč&quot;* &quot;-&quot;??_);_(@_)"/>
    <numFmt numFmtId="174" formatCode="_(* #,##0.00_);_(* \(#,##0.00\);_(* &quot;-&quot;??_);_(@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.00\ &quot;Kč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"/>
    <numFmt numFmtId="186" formatCode="m/d/yyyy"/>
    <numFmt numFmtId="187" formatCode="0.00000"/>
    <numFmt numFmtId="188" formatCode="0.0000"/>
    <numFmt numFmtId="189" formatCode="_-* #,##0.0\ &quot;Kč&quot;_-;\-* #,##0.0\ &quot;Kč&quot;_-;_-* &quot;-&quot;??\ &quot;Kč&quot;_-;_-@_-"/>
    <numFmt numFmtId="190" formatCode="_-* #,##0\ &quot;Kč&quot;_-;\-* #,##0\ &quot;Kč&quot;_-;_-* &quot;-&quot;??\ &quot;Kč&quot;_-;_-@_-"/>
    <numFmt numFmtId="191" formatCode="#,##0.00\ [$Kč-405]"/>
    <numFmt numFmtId="192" formatCode="#,##0.000\ [$Kč-405]"/>
    <numFmt numFmtId="193" formatCode="#,##0.0\ [$Kč-405]"/>
    <numFmt numFmtId="194" formatCode="#,##0\ [$Kč-405]"/>
    <numFmt numFmtId="195" formatCode="&quot;Kč&quot;#,##0"/>
    <numFmt numFmtId="196" formatCode="[$ESP]\ #,##0.00"/>
    <numFmt numFmtId="197" formatCode="0.000%"/>
    <numFmt numFmtId="198" formatCode="0.00000000"/>
    <numFmt numFmtId="199" formatCode="0.000000"/>
    <numFmt numFmtId="200" formatCode="_-* #,##0.000\ &quot;Kč&quot;_-;\-* #,##0.000\ &quot;Kč&quot;_-;_-* &quot;-&quot;??\ &quot;Kč&quot;_-;_-@_-"/>
    <numFmt numFmtId="201" formatCode="0.00;[Red]0.00"/>
    <numFmt numFmtId="202" formatCode="yyyy"/>
    <numFmt numFmtId="203" formatCode="[$-405]d\.\ mmmm\ yyyy"/>
    <numFmt numFmtId="204" formatCode="mmm/yyyy"/>
  </numFmts>
  <fonts count="23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u val="single"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u val="single"/>
      <sz val="10"/>
      <name val="Arial CE"/>
      <family val="0"/>
    </font>
    <font>
      <b/>
      <sz val="10"/>
      <name val="Arial"/>
      <family val="0"/>
    </font>
    <font>
      <b/>
      <sz val="9"/>
      <name val="Arial CE"/>
      <family val="2"/>
    </font>
    <font>
      <b/>
      <sz val="12"/>
      <name val="Arial CE"/>
      <family val="0"/>
    </font>
    <font>
      <b/>
      <i/>
      <sz val="13.25"/>
      <name val="Arial CE"/>
      <family val="2"/>
    </font>
    <font>
      <sz val="19.25"/>
      <name val="Arial CE"/>
      <family val="0"/>
    </font>
    <font>
      <sz val="9.75"/>
      <name val="Arial CE"/>
      <family val="0"/>
    </font>
    <font>
      <sz val="15.75"/>
      <name val="Arial CE"/>
      <family val="0"/>
    </font>
    <font>
      <sz val="11.25"/>
      <name val="Arial CE"/>
      <family val="2"/>
    </font>
    <font>
      <sz val="8.5"/>
      <name val="Arial CE"/>
      <family val="0"/>
    </font>
    <font>
      <b/>
      <i/>
      <sz val="9"/>
      <color indexed="8"/>
      <name val="Arial CE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165" fontId="0" fillId="0" borderId="0" xfId="21" applyNumberFormat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1" fontId="9" fillId="0" borderId="13" xfId="0" applyNumberFormat="1" applyFont="1" applyFill="1" applyBorder="1" applyAlignment="1">
      <alignment/>
    </xf>
    <xf numFmtId="164" fontId="9" fillId="0" borderId="16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1" fontId="9" fillId="0" borderId="24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" fontId="9" fillId="0" borderId="17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" fontId="9" fillId="0" borderId="29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1" fontId="10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1" fontId="10" fillId="0" borderId="24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5" fillId="0" borderId="2" xfId="0" applyFont="1" applyFill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11" fillId="0" borderId="29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/>
    </xf>
    <xf numFmtId="0" fontId="6" fillId="0" borderId="12" xfId="0" applyFont="1" applyFill="1" applyBorder="1" applyAlignment="1">
      <alignment/>
    </xf>
    <xf numFmtId="1" fontId="6" fillId="0" borderId="13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9" fontId="6" fillId="0" borderId="16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1" fontId="6" fillId="0" borderId="24" xfId="0" applyNumberFormat="1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>
      <alignment/>
    </xf>
    <xf numFmtId="1" fontId="6" fillId="0" borderId="16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" fontId="6" fillId="0" borderId="2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6" fillId="0" borderId="28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9" fillId="0" borderId="8" xfId="0" applyNumberFormat="1" applyFont="1" applyFill="1" applyBorder="1" applyAlignment="1">
      <alignment/>
    </xf>
    <xf numFmtId="0" fontId="6" fillId="0" borderId="6" xfId="0" applyFont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1" fontId="6" fillId="0" borderId="3" xfId="0" applyNumberFormat="1" applyFont="1" applyFill="1" applyBorder="1" applyAlignment="1">
      <alignment/>
    </xf>
    <xf numFmtId="1" fontId="6" fillId="0" borderId="32" xfId="0" applyNumberFormat="1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1" fontId="12" fillId="0" borderId="2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12" xfId="0" applyFill="1" applyBorder="1" applyAlignment="1">
      <alignment/>
    </xf>
    <xf numFmtId="1" fontId="6" fillId="0" borderId="27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3" xfId="20" applyFont="1" applyBorder="1">
      <alignment/>
      <protection/>
    </xf>
    <xf numFmtId="0" fontId="6" fillId="0" borderId="13" xfId="20" applyFont="1" applyBorder="1">
      <alignment/>
      <protection/>
    </xf>
    <xf numFmtId="1" fontId="6" fillId="0" borderId="39" xfId="0" applyNumberFormat="1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0" fillId="0" borderId="24" xfId="0" applyFill="1" applyBorder="1" applyAlignment="1">
      <alignment/>
    </xf>
    <xf numFmtId="0" fontId="6" fillId="0" borderId="25" xfId="0" applyFont="1" applyFill="1" applyBorder="1" applyAlignment="1">
      <alignment/>
    </xf>
    <xf numFmtId="1" fontId="6" fillId="0" borderId="26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13" fillId="0" borderId="0" xfId="0" applyFont="1" applyAlignment="1">
      <alignment/>
    </xf>
    <xf numFmtId="0" fontId="5" fillId="0" borderId="0" xfId="20" applyFont="1">
      <alignment/>
      <protection/>
    </xf>
    <xf numFmtId="0" fontId="2" fillId="0" borderId="0" xfId="20">
      <alignment/>
      <protection/>
    </xf>
    <xf numFmtId="0" fontId="7" fillId="0" borderId="29" xfId="20" applyFont="1" applyBorder="1" applyAlignment="1">
      <alignment horizontal="center"/>
      <protection/>
    </xf>
    <xf numFmtId="0" fontId="7" fillId="0" borderId="31" xfId="20" applyFont="1" applyBorder="1" applyAlignment="1">
      <alignment horizontal="center"/>
      <protection/>
    </xf>
    <xf numFmtId="0" fontId="11" fillId="0" borderId="32" xfId="20" applyFont="1" applyFill="1" applyBorder="1" applyAlignment="1">
      <alignment horizontal="center"/>
      <protection/>
    </xf>
    <xf numFmtId="0" fontId="11" fillId="0" borderId="32" xfId="20" applyFont="1" applyFill="1" applyBorder="1" applyAlignment="1">
      <alignment horizontal="center"/>
      <protection/>
    </xf>
    <xf numFmtId="0" fontId="6" fillId="0" borderId="25" xfId="20" applyFont="1" applyBorder="1">
      <alignment/>
      <protection/>
    </xf>
    <xf numFmtId="0" fontId="6" fillId="0" borderId="26" xfId="20" applyFont="1" applyBorder="1">
      <alignment/>
      <protection/>
    </xf>
    <xf numFmtId="1" fontId="2" fillId="0" borderId="39" xfId="20" applyNumberFormat="1" applyFont="1" applyBorder="1">
      <alignment/>
      <protection/>
    </xf>
    <xf numFmtId="1" fontId="2" fillId="0" borderId="16" xfId="20" applyNumberFormat="1" applyFont="1" applyBorder="1">
      <alignment/>
      <protection/>
    </xf>
    <xf numFmtId="0" fontId="6" fillId="0" borderId="13" xfId="20" applyFont="1" applyBorder="1">
      <alignment/>
      <protection/>
    </xf>
    <xf numFmtId="0" fontId="6" fillId="0" borderId="14" xfId="20" applyFont="1" applyBorder="1">
      <alignment/>
      <protection/>
    </xf>
    <xf numFmtId="1" fontId="2" fillId="0" borderId="16" xfId="20" applyNumberFormat="1" applyBorder="1">
      <alignment/>
      <protection/>
    </xf>
    <xf numFmtId="0" fontId="6" fillId="0" borderId="21" xfId="20" applyFont="1" applyFill="1" applyBorder="1">
      <alignment/>
      <protection/>
    </xf>
    <xf numFmtId="0" fontId="6" fillId="0" borderId="22" xfId="20" applyFont="1" applyBorder="1">
      <alignment/>
      <protection/>
    </xf>
    <xf numFmtId="1" fontId="2" fillId="0" borderId="24" xfId="20" applyNumberFormat="1" applyBorder="1">
      <alignment/>
      <protection/>
    </xf>
    <xf numFmtId="1" fontId="2" fillId="0" borderId="28" xfId="20" applyNumberFormat="1" applyFont="1" applyBorder="1">
      <alignment/>
      <protection/>
    </xf>
    <xf numFmtId="0" fontId="6" fillId="0" borderId="40" xfId="20" applyFont="1" applyBorder="1">
      <alignment/>
      <protection/>
    </xf>
    <xf numFmtId="1" fontId="9" fillId="0" borderId="32" xfId="20" applyNumberFormat="1" applyFont="1" applyFill="1" applyBorder="1">
      <alignment/>
      <protection/>
    </xf>
    <xf numFmtId="0" fontId="14" fillId="0" borderId="0" xfId="20" applyFont="1" applyBorder="1" applyAlignment="1">
      <alignment/>
      <protection/>
    </xf>
    <xf numFmtId="0" fontId="6" fillId="0" borderId="1" xfId="20" applyFont="1" applyBorder="1" applyAlignment="1">
      <alignment/>
      <protection/>
    </xf>
    <xf numFmtId="1" fontId="9" fillId="0" borderId="7" xfId="20" applyNumberFormat="1" applyFont="1" applyFill="1" applyBorder="1" applyAlignment="1">
      <alignment/>
      <protection/>
    </xf>
    <xf numFmtId="0" fontId="5" fillId="0" borderId="0" xfId="20" applyFont="1" applyBorder="1" applyAlignment="1">
      <alignment/>
      <protection/>
    </xf>
    <xf numFmtId="0" fontId="2" fillId="0" borderId="0" xfId="20" applyFont="1">
      <alignment/>
      <protection/>
    </xf>
    <xf numFmtId="0" fontId="6" fillId="0" borderId="0" xfId="20" applyFont="1">
      <alignment/>
      <protection/>
    </xf>
    <xf numFmtId="0" fontId="7" fillId="0" borderId="3" xfId="20" applyFont="1" applyBorder="1" applyAlignment="1">
      <alignment horizontal="center"/>
      <protection/>
    </xf>
    <xf numFmtId="0" fontId="7" fillId="0" borderId="5" xfId="20" applyFont="1" applyBorder="1" applyAlignment="1">
      <alignment horizontal="center"/>
      <protection/>
    </xf>
    <xf numFmtId="0" fontId="6" fillId="0" borderId="8" xfId="20" applyFont="1" applyBorder="1">
      <alignment/>
      <protection/>
    </xf>
    <xf numFmtId="0" fontId="6" fillId="0" borderId="9" xfId="20" applyFont="1" applyBorder="1">
      <alignment/>
      <protection/>
    </xf>
    <xf numFmtId="1" fontId="2" fillId="0" borderId="27" xfId="20" applyNumberFormat="1" applyFont="1" applyBorder="1">
      <alignment/>
      <protection/>
    </xf>
    <xf numFmtId="0" fontId="6" fillId="0" borderId="38" xfId="20" applyFont="1" applyBorder="1">
      <alignment/>
      <protection/>
    </xf>
    <xf numFmtId="0" fontId="2" fillId="0" borderId="0" xfId="20" applyFont="1">
      <alignment/>
      <protection/>
    </xf>
    <xf numFmtId="0" fontId="6" fillId="0" borderId="1" xfId="20" applyFont="1" applyFill="1" applyBorder="1">
      <alignment/>
      <protection/>
    </xf>
    <xf numFmtId="1" fontId="6" fillId="0" borderId="7" xfId="20" applyNumberFormat="1" applyFont="1" applyBorder="1">
      <alignment/>
      <protection/>
    </xf>
    <xf numFmtId="0" fontId="6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0" fontId="6" fillId="0" borderId="1" xfId="20" applyFont="1" applyBorder="1">
      <alignment/>
      <protection/>
    </xf>
    <xf numFmtId="0" fontId="11" fillId="0" borderId="0" xfId="20" applyFont="1" applyFill="1" applyBorder="1" applyAlignment="1">
      <alignment horizontal="center"/>
      <protection/>
    </xf>
    <xf numFmtId="1" fontId="8" fillId="0" borderId="12" xfId="20" applyNumberFormat="1" applyFont="1" applyFill="1" applyBorder="1">
      <alignment/>
      <protection/>
    </xf>
    <xf numFmtId="1" fontId="8" fillId="0" borderId="41" xfId="20" applyNumberFormat="1" applyFont="1" applyFill="1" applyBorder="1">
      <alignment/>
      <protection/>
    </xf>
    <xf numFmtId="0" fontId="6" fillId="0" borderId="21" xfId="20" applyFont="1" applyBorder="1">
      <alignment/>
      <protection/>
    </xf>
    <xf numFmtId="1" fontId="8" fillId="0" borderId="42" xfId="20" applyNumberFormat="1" applyFont="1" applyFill="1" applyBorder="1">
      <alignment/>
      <protection/>
    </xf>
    <xf numFmtId="1" fontId="8" fillId="0" borderId="28" xfId="20" applyNumberFormat="1" applyFont="1" applyFill="1" applyBorder="1">
      <alignment/>
      <protection/>
    </xf>
    <xf numFmtId="1" fontId="6" fillId="0" borderId="32" xfId="20" applyNumberFormat="1" applyFont="1" applyBorder="1">
      <alignment/>
      <protection/>
    </xf>
    <xf numFmtId="1" fontId="6" fillId="0" borderId="0" xfId="20" applyNumberFormat="1" applyFont="1" applyBorder="1">
      <alignment/>
      <protection/>
    </xf>
    <xf numFmtId="0" fontId="2" fillId="0" borderId="8" xfId="20" applyFont="1" applyBorder="1">
      <alignment/>
      <protection/>
    </xf>
    <xf numFmtId="0" fontId="2" fillId="0" borderId="12" xfId="20" applyBorder="1">
      <alignment/>
      <protection/>
    </xf>
    <xf numFmtId="0" fontId="2" fillId="0" borderId="41" xfId="20" applyBorder="1">
      <alignment/>
      <protection/>
    </xf>
    <xf numFmtId="0" fontId="2" fillId="0" borderId="12" xfId="20" applyFont="1" applyBorder="1">
      <alignment/>
      <protection/>
    </xf>
    <xf numFmtId="0" fontId="2" fillId="0" borderId="13" xfId="20" applyBorder="1">
      <alignment/>
      <protection/>
    </xf>
    <xf numFmtId="0" fontId="2" fillId="0" borderId="16" xfId="20" applyBorder="1">
      <alignment/>
      <protection/>
    </xf>
    <xf numFmtId="0" fontId="2" fillId="0" borderId="39" xfId="20" applyBorder="1">
      <alignment/>
      <protection/>
    </xf>
    <xf numFmtId="0" fontId="2" fillId="0" borderId="21" xfId="20" applyBorder="1">
      <alignment/>
      <protection/>
    </xf>
    <xf numFmtId="0" fontId="2" fillId="0" borderId="24" xfId="20" applyBorder="1">
      <alignment/>
      <protection/>
    </xf>
    <xf numFmtId="0" fontId="2" fillId="0" borderId="43" xfId="20" applyBorder="1">
      <alignment/>
      <protection/>
    </xf>
    <xf numFmtId="0" fontId="6" fillId="0" borderId="32" xfId="20" applyFont="1" applyBorder="1">
      <alignment/>
      <protection/>
    </xf>
    <xf numFmtId="0" fontId="2" fillId="0" borderId="0" xfId="20" applyBorder="1">
      <alignment/>
      <protection/>
    </xf>
    <xf numFmtId="165" fontId="6" fillId="0" borderId="30" xfId="21" applyNumberFormat="1" applyFont="1" applyBorder="1" applyAlignment="1">
      <alignment/>
    </xf>
    <xf numFmtId="0" fontId="6" fillId="0" borderId="1" xfId="20" applyFont="1" applyFill="1" applyBorder="1">
      <alignment/>
      <protection/>
    </xf>
    <xf numFmtId="0" fontId="6" fillId="0" borderId="30" xfId="20" applyFont="1" applyFill="1" applyBorder="1">
      <alignment/>
      <protection/>
    </xf>
    <xf numFmtId="0" fontId="15" fillId="0" borderId="0" xfId="20" applyFont="1">
      <alignment/>
      <protection/>
    </xf>
    <xf numFmtId="0" fontId="11" fillId="0" borderId="18" xfId="20" applyFont="1" applyFill="1" applyBorder="1" applyAlignment="1">
      <alignment horizontal="center"/>
      <protection/>
    </xf>
    <xf numFmtId="1" fontId="2" fillId="0" borderId="9" xfId="20" applyNumberFormat="1" applyBorder="1">
      <alignment/>
      <protection/>
    </xf>
    <xf numFmtId="1" fontId="2" fillId="0" borderId="10" xfId="20" applyNumberFormat="1" applyBorder="1">
      <alignment/>
      <protection/>
    </xf>
    <xf numFmtId="1" fontId="2" fillId="0" borderId="12" xfId="20" applyNumberFormat="1" applyBorder="1">
      <alignment/>
      <protection/>
    </xf>
    <xf numFmtId="1" fontId="2" fillId="0" borderId="14" xfId="20" applyNumberFormat="1" applyBorder="1">
      <alignment/>
      <protection/>
    </xf>
    <xf numFmtId="1" fontId="2" fillId="0" borderId="15" xfId="20" applyNumberFormat="1" applyBorder="1">
      <alignment/>
      <protection/>
    </xf>
    <xf numFmtId="0" fontId="2" fillId="0" borderId="21" xfId="20" applyFont="1" applyBorder="1">
      <alignment/>
      <protection/>
    </xf>
    <xf numFmtId="1" fontId="2" fillId="0" borderId="22" xfId="20" applyNumberFormat="1" applyFont="1" applyBorder="1">
      <alignment/>
      <protection/>
    </xf>
    <xf numFmtId="1" fontId="2" fillId="0" borderId="23" xfId="20" applyNumberFormat="1" applyFont="1" applyBorder="1">
      <alignment/>
      <protection/>
    </xf>
    <xf numFmtId="1" fontId="2" fillId="0" borderId="24" xfId="20" applyNumberFormat="1" applyFont="1" applyBorder="1">
      <alignment/>
      <protection/>
    </xf>
    <xf numFmtId="0" fontId="6" fillId="0" borderId="8" xfId="20" applyFont="1" applyBorder="1">
      <alignment/>
      <protection/>
    </xf>
    <xf numFmtId="1" fontId="6" fillId="0" borderId="9" xfId="20" applyNumberFormat="1" applyFont="1" applyBorder="1">
      <alignment/>
      <protection/>
    </xf>
    <xf numFmtId="1" fontId="6" fillId="0" borderId="10" xfId="20" applyNumberFormat="1" applyFont="1" applyBorder="1">
      <alignment/>
      <protection/>
    </xf>
    <xf numFmtId="1" fontId="6" fillId="0" borderId="12" xfId="20" applyNumberFormat="1" applyFont="1" applyBorder="1">
      <alignment/>
      <protection/>
    </xf>
    <xf numFmtId="0" fontId="6" fillId="0" borderId="21" xfId="20" applyFont="1" applyBorder="1">
      <alignment/>
      <protection/>
    </xf>
    <xf numFmtId="1" fontId="6" fillId="0" borderId="22" xfId="20" applyNumberFormat="1" applyFont="1" applyBorder="1">
      <alignment/>
      <protection/>
    </xf>
    <xf numFmtId="1" fontId="6" fillId="0" borderId="23" xfId="20" applyNumberFormat="1" applyFont="1" applyBorder="1">
      <alignment/>
      <protection/>
    </xf>
    <xf numFmtId="1" fontId="6" fillId="0" borderId="24" xfId="20" applyNumberFormat="1" applyFont="1" applyBorder="1">
      <alignment/>
      <protection/>
    </xf>
    <xf numFmtId="1" fontId="2" fillId="0" borderId="0" xfId="20" applyNumberFormat="1">
      <alignment/>
      <protection/>
    </xf>
    <xf numFmtId="1" fontId="2" fillId="0" borderId="22" xfId="20" applyNumberFormat="1" applyBorder="1">
      <alignment/>
      <protection/>
    </xf>
    <xf numFmtId="1" fontId="2" fillId="0" borderId="23" xfId="20" applyNumberFormat="1" applyBorder="1">
      <alignment/>
      <protection/>
    </xf>
    <xf numFmtId="0" fontId="6" fillId="0" borderId="25" xfId="20" applyFont="1" applyBorder="1">
      <alignment/>
      <protection/>
    </xf>
    <xf numFmtId="1" fontId="6" fillId="0" borderId="26" xfId="20" applyNumberFormat="1" applyFont="1" applyBorder="1">
      <alignment/>
      <protection/>
    </xf>
    <xf numFmtId="1" fontId="6" fillId="0" borderId="19" xfId="20" applyNumberFormat="1" applyFont="1" applyBorder="1">
      <alignment/>
      <protection/>
    </xf>
    <xf numFmtId="1" fontId="6" fillId="0" borderId="27" xfId="20" applyNumberFormat="1" applyFont="1" applyBorder="1">
      <alignment/>
      <protection/>
    </xf>
    <xf numFmtId="0" fontId="6" fillId="0" borderId="29" xfId="20" applyFont="1" applyBorder="1">
      <alignment/>
      <protection/>
    </xf>
    <xf numFmtId="1" fontId="6" fillId="0" borderId="30" xfId="20" applyNumberFormat="1" applyFont="1" applyBorder="1">
      <alignment/>
      <protection/>
    </xf>
    <xf numFmtId="1" fontId="6" fillId="0" borderId="31" xfId="20" applyNumberFormat="1" applyFont="1" applyBorder="1">
      <alignment/>
      <protection/>
    </xf>
    <xf numFmtId="1" fontId="6" fillId="0" borderId="32" xfId="20" applyNumberFormat="1" applyFont="1" applyBorder="1">
      <alignment/>
      <protection/>
    </xf>
    <xf numFmtId="0" fontId="6" fillId="0" borderId="0" xfId="20" applyFont="1" applyBorder="1">
      <alignment/>
      <protection/>
    </xf>
    <xf numFmtId="1" fontId="6" fillId="0" borderId="0" xfId="20" applyNumberFormat="1" applyFont="1" applyBorder="1">
      <alignment/>
      <protection/>
    </xf>
    <xf numFmtId="165" fontId="2" fillId="0" borderId="0" xfId="21" applyNumberFormat="1" applyAlignment="1">
      <alignment/>
    </xf>
    <xf numFmtId="9" fontId="2" fillId="0" borderId="0" xfId="21" applyAlignment="1">
      <alignment/>
    </xf>
    <xf numFmtId="0" fontId="22" fillId="0" borderId="32" xfId="20" applyFont="1" applyFill="1" applyBorder="1" applyAlignment="1">
      <alignment horizontal="center"/>
      <protection/>
    </xf>
    <xf numFmtId="0" fontId="22" fillId="0" borderId="32" xfId="20" applyFont="1" applyFill="1" applyBorder="1" applyAlignment="1">
      <alignment horizontal="center"/>
      <protection/>
    </xf>
    <xf numFmtId="14" fontId="6" fillId="0" borderId="1" xfId="0" applyNumberFormat="1" applyFont="1" applyFill="1" applyBorder="1" applyAlignment="1">
      <alignment horizontal="center"/>
    </xf>
    <xf numFmtId="14" fontId="6" fillId="0" borderId="44" xfId="0" applyNumberFormat="1" applyFont="1" applyFill="1" applyBorder="1" applyAlignment="1">
      <alignment horizontal="center"/>
    </xf>
    <xf numFmtId="0" fontId="5" fillId="0" borderId="0" xfId="20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.úprava rozpočtu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1" u="none" baseline="0"/>
              <a:t>Město Blovice - rozpočtový výhled 2013-2016
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475"/>
          <c:w val="1"/>
          <c:h val="0.88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'výhled 2013_16'!$B$56</c:f>
              <c:strCache>
                <c:ptCount val="1"/>
                <c:pt idx="0">
                  <c:v>Příjmy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2013_16'!$C$54:$H$54</c:f>
              <c:strCache>
                <c:ptCount val="6"/>
                <c:pt idx="0">
                  <c:v>rozp.2011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'výhled 2013_16'!$C$56:$H$56</c:f>
              <c:numCache>
                <c:ptCount val="6"/>
                <c:pt idx="0">
                  <c:v>95009</c:v>
                </c:pt>
                <c:pt idx="1">
                  <c:v>63894</c:v>
                </c:pt>
                <c:pt idx="2">
                  <c:v>64444</c:v>
                </c:pt>
                <c:pt idx="3">
                  <c:v>67666.2</c:v>
                </c:pt>
                <c:pt idx="4">
                  <c:v>71049.51000000001</c:v>
                </c:pt>
                <c:pt idx="5">
                  <c:v>74601.98550000001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'výhled 2013_16'!$B$57</c:f>
              <c:strCache>
                <c:ptCount val="1"/>
                <c:pt idx="0">
                  <c:v>Výdaje celkem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'výhled 2013_16'!$C$54:$H$54</c:f>
              <c:strCache>
                <c:ptCount val="6"/>
                <c:pt idx="0">
                  <c:v>rozp.2011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strCache>
            </c:strRef>
          </c:cat>
          <c:val>
            <c:numRef>
              <c:f>'výhled 2013_16'!$C$57:$H$57</c:f>
              <c:numCache>
                <c:ptCount val="6"/>
                <c:pt idx="0">
                  <c:v>117394</c:v>
                </c:pt>
                <c:pt idx="1">
                  <c:v>80289</c:v>
                </c:pt>
                <c:pt idx="2">
                  <c:v>58549</c:v>
                </c:pt>
                <c:pt idx="3">
                  <c:v>61715.96000000001</c:v>
                </c:pt>
                <c:pt idx="4">
                  <c:v>64865.5984</c:v>
                </c:pt>
                <c:pt idx="5">
                  <c:v>68101.22233600002</c:v>
                </c:pt>
              </c:numCache>
            </c:numRef>
          </c:val>
          <c:shape val="box"/>
        </c:ser>
        <c:shape val="box"/>
        <c:axId val="35440732"/>
        <c:axId val="50531133"/>
      </c:bar3D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50531133"/>
        <c:crosses val="autoZero"/>
        <c:auto val="1"/>
        <c:lblOffset val="100"/>
        <c:noMultiLvlLbl val="0"/>
      </c:catAx>
      <c:valAx>
        <c:axId val="50531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tis.Kč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5440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65"/>
          <c:y val="0.20125"/>
          <c:w val="0.277"/>
          <c:h val="0.20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47625</xdr:rowOff>
    </xdr:from>
    <xdr:to>
      <xdr:col>8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7625" y="4876800"/>
        <a:ext cx="5619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6.8515625" style="0" customWidth="1"/>
    <col min="3" max="3" width="4.140625" style="0" customWidth="1"/>
    <col min="4" max="4" width="31.00390625" style="0" customWidth="1"/>
    <col min="5" max="5" width="10.421875" style="119" customWidth="1"/>
    <col min="6" max="6" width="9.7109375" style="119" customWidth="1"/>
    <col min="7" max="7" width="11.00390625" style="0" customWidth="1"/>
    <col min="8" max="8" width="7.7109375" style="0" customWidth="1"/>
  </cols>
  <sheetData>
    <row r="1" spans="1:6" ht="18.75" thickBot="1">
      <c r="A1" s="1" t="s">
        <v>186</v>
      </c>
      <c r="B1" s="2"/>
      <c r="C1" s="2"/>
      <c r="D1" s="2"/>
      <c r="E1" s="216" t="s">
        <v>185</v>
      </c>
      <c r="F1" s="217"/>
    </row>
    <row r="2" spans="1:6" ht="13.5" thickBot="1">
      <c r="A2" s="3" t="s">
        <v>0</v>
      </c>
      <c r="B2" s="4" t="s">
        <v>1</v>
      </c>
      <c r="C2" s="4" t="s">
        <v>2</v>
      </c>
      <c r="D2" s="5" t="s">
        <v>3</v>
      </c>
      <c r="E2" s="6"/>
      <c r="F2" s="7" t="s">
        <v>4</v>
      </c>
    </row>
    <row r="3" spans="1:6" ht="12.75">
      <c r="A3" s="8" t="s">
        <v>5</v>
      </c>
      <c r="B3" s="9" t="s">
        <v>6</v>
      </c>
      <c r="C3" s="9">
        <v>1</v>
      </c>
      <c r="D3" s="10" t="s">
        <v>7</v>
      </c>
      <c r="E3" s="11">
        <f>10483.3+814</f>
        <v>11297.3</v>
      </c>
      <c r="F3" s="12"/>
    </row>
    <row r="4" spans="1:6" ht="12.75">
      <c r="A4" s="14"/>
      <c r="B4" s="15"/>
      <c r="C4" s="15">
        <f aca="true" t="shared" si="0" ref="C4:C11">+C3+1</f>
        <v>2</v>
      </c>
      <c r="D4" s="16" t="s">
        <v>8</v>
      </c>
      <c r="E4" s="17">
        <f>812.58+960</f>
        <v>1772.58</v>
      </c>
      <c r="F4" s="18"/>
    </row>
    <row r="5" spans="1:6" ht="12.75">
      <c r="A5" s="14"/>
      <c r="B5" s="15"/>
      <c r="C5" s="15">
        <f t="shared" si="0"/>
        <v>3</v>
      </c>
      <c r="D5" s="16" t="s">
        <v>9</v>
      </c>
      <c r="E5" s="17">
        <v>0</v>
      </c>
      <c r="F5" s="19"/>
    </row>
    <row r="6" spans="1:6" ht="12.75">
      <c r="A6" s="20"/>
      <c r="B6" s="21"/>
      <c r="C6" s="15">
        <f t="shared" si="0"/>
        <v>4</v>
      </c>
      <c r="D6" s="16" t="s">
        <v>10</v>
      </c>
      <c r="E6" s="17">
        <v>456</v>
      </c>
      <c r="F6" s="19"/>
    </row>
    <row r="7" spans="1:6" ht="12.75">
      <c r="A7" s="20"/>
      <c r="B7" s="21"/>
      <c r="C7" s="15">
        <f t="shared" si="0"/>
        <v>5</v>
      </c>
      <c r="D7" s="22" t="s">
        <v>11</v>
      </c>
      <c r="E7" s="17">
        <v>0</v>
      </c>
      <c r="F7" s="19"/>
    </row>
    <row r="8" spans="1:6" ht="12.75">
      <c r="A8" s="20"/>
      <c r="B8" s="21"/>
      <c r="C8" s="15">
        <f t="shared" si="0"/>
        <v>6</v>
      </c>
      <c r="D8" s="23" t="s">
        <v>12</v>
      </c>
      <c r="E8" s="17">
        <v>0</v>
      </c>
      <c r="F8" s="19"/>
    </row>
    <row r="9" spans="1:6" ht="12.75">
      <c r="A9" s="20"/>
      <c r="B9" s="21"/>
      <c r="C9" s="15">
        <f t="shared" si="0"/>
        <v>7</v>
      </c>
      <c r="D9" s="23" t="s">
        <v>13</v>
      </c>
      <c r="E9" s="17">
        <v>0</v>
      </c>
      <c r="F9" s="19"/>
    </row>
    <row r="10" spans="1:6" ht="12.75">
      <c r="A10" s="20"/>
      <c r="B10" s="21"/>
      <c r="C10" s="15">
        <f t="shared" si="0"/>
        <v>8</v>
      </c>
      <c r="D10" s="24" t="s">
        <v>14</v>
      </c>
      <c r="E10" s="17">
        <v>0</v>
      </c>
      <c r="F10" s="19"/>
    </row>
    <row r="11" spans="1:6" ht="12.75">
      <c r="A11" s="20"/>
      <c r="B11" s="21"/>
      <c r="C11" s="15">
        <f t="shared" si="0"/>
        <v>9</v>
      </c>
      <c r="D11" s="24" t="s">
        <v>15</v>
      </c>
      <c r="E11" s="25">
        <v>0</v>
      </c>
      <c r="F11" s="19"/>
    </row>
    <row r="12" spans="1:6" ht="13.5" thickBot="1">
      <c r="A12" s="26"/>
      <c r="B12" s="27"/>
      <c r="C12" s="27"/>
      <c r="D12" s="28" t="s">
        <v>4</v>
      </c>
      <c r="E12" s="29"/>
      <c r="F12" s="30">
        <f>SUM(E3:E11)</f>
        <v>13525.88</v>
      </c>
    </row>
    <row r="13" spans="1:6" ht="12.75">
      <c r="A13" s="31" t="s">
        <v>16</v>
      </c>
      <c r="B13" s="32" t="s">
        <v>17</v>
      </c>
      <c r="C13" s="32">
        <v>1</v>
      </c>
      <c r="D13" s="22" t="s">
        <v>18</v>
      </c>
      <c r="E13" s="33">
        <v>3000</v>
      </c>
      <c r="F13" s="34"/>
    </row>
    <row r="14" spans="1:6" ht="12.75">
      <c r="A14" s="14"/>
      <c r="B14" s="15"/>
      <c r="C14" s="15">
        <v>2</v>
      </c>
      <c r="D14" s="16" t="s">
        <v>19</v>
      </c>
      <c r="E14" s="17">
        <f>6600+440+13700+550+5860</f>
        <v>27150</v>
      </c>
      <c r="F14" s="19"/>
    </row>
    <row r="15" spans="1:6" ht="12.75">
      <c r="A15" s="14"/>
      <c r="B15" s="15"/>
      <c r="C15" s="15">
        <v>3</v>
      </c>
      <c r="D15" s="16" t="s">
        <v>20</v>
      </c>
      <c r="E15" s="25">
        <v>1000</v>
      </c>
      <c r="F15" s="19"/>
    </row>
    <row r="16" spans="1:6" ht="13.5" thickBot="1">
      <c r="A16" s="26"/>
      <c r="B16" s="27"/>
      <c r="C16" s="27"/>
      <c r="D16" s="28" t="s">
        <v>21</v>
      </c>
      <c r="E16" s="29"/>
      <c r="F16" s="30">
        <f>SUM(E13:E15)</f>
        <v>31150</v>
      </c>
    </row>
    <row r="17" spans="1:6" ht="12.75">
      <c r="A17" s="14" t="s">
        <v>22</v>
      </c>
      <c r="B17" s="32" t="s">
        <v>23</v>
      </c>
      <c r="C17" s="15">
        <v>1</v>
      </c>
      <c r="D17" s="16" t="s">
        <v>24</v>
      </c>
      <c r="E17" s="25">
        <v>1250</v>
      </c>
      <c r="F17" s="19"/>
    </row>
    <row r="18" spans="1:6" ht="12.75">
      <c r="A18" s="14"/>
      <c r="B18" s="15"/>
      <c r="C18" s="15">
        <f aca="true" t="shared" si="1" ref="C18:C27">+C17+1</f>
        <v>2</v>
      </c>
      <c r="D18" s="16" t="s">
        <v>25</v>
      </c>
      <c r="E18" s="25">
        <v>350</v>
      </c>
      <c r="F18" s="19"/>
    </row>
    <row r="19" spans="1:6" ht="12.75">
      <c r="A19" s="14"/>
      <c r="B19" s="15"/>
      <c r="C19" s="15">
        <f t="shared" si="1"/>
        <v>3</v>
      </c>
      <c r="D19" s="16" t="s">
        <v>26</v>
      </c>
      <c r="E19" s="25">
        <v>130</v>
      </c>
      <c r="F19" s="19"/>
    </row>
    <row r="20" spans="1:6" ht="12.75">
      <c r="A20" s="14"/>
      <c r="B20" s="15"/>
      <c r="C20" s="15">
        <f t="shared" si="1"/>
        <v>4</v>
      </c>
      <c r="D20" s="16" t="s">
        <v>27</v>
      </c>
      <c r="E20" s="25">
        <v>240</v>
      </c>
      <c r="F20" s="19"/>
    </row>
    <row r="21" spans="1:6" ht="12.75">
      <c r="A21" s="14"/>
      <c r="B21" s="15"/>
      <c r="C21" s="15">
        <f t="shared" si="1"/>
        <v>5</v>
      </c>
      <c r="D21" s="16" t="s">
        <v>28</v>
      </c>
      <c r="E21" s="25">
        <v>220</v>
      </c>
      <c r="F21" s="19"/>
    </row>
    <row r="22" spans="1:6" ht="12.75">
      <c r="A22" s="14"/>
      <c r="B22" s="15" t="s">
        <v>29</v>
      </c>
      <c r="C22" s="15">
        <f t="shared" si="1"/>
        <v>6</v>
      </c>
      <c r="D22" s="16" t="s">
        <v>30</v>
      </c>
      <c r="E22" s="25">
        <v>1800</v>
      </c>
      <c r="F22" s="19"/>
    </row>
    <row r="23" spans="1:6" ht="12.75">
      <c r="A23" s="14"/>
      <c r="B23" s="15" t="s">
        <v>31</v>
      </c>
      <c r="C23" s="15">
        <f t="shared" si="1"/>
        <v>7</v>
      </c>
      <c r="D23" s="16" t="s">
        <v>32</v>
      </c>
      <c r="E23" s="25">
        <v>112</v>
      </c>
      <c r="F23" s="19"/>
    </row>
    <row r="24" spans="1:6" ht="12.75">
      <c r="A24" s="14"/>
      <c r="B24" s="15"/>
      <c r="C24" s="15">
        <f t="shared" si="1"/>
        <v>8</v>
      </c>
      <c r="D24" s="16" t="s">
        <v>33</v>
      </c>
      <c r="E24" s="25">
        <v>198</v>
      </c>
      <c r="F24" s="19"/>
    </row>
    <row r="25" spans="1:6" ht="12.75">
      <c r="A25" s="14"/>
      <c r="B25" s="15"/>
      <c r="C25" s="15">
        <f t="shared" si="1"/>
        <v>9</v>
      </c>
      <c r="D25" s="16" t="s">
        <v>34</v>
      </c>
      <c r="E25" s="25">
        <v>60</v>
      </c>
      <c r="F25" s="19"/>
    </row>
    <row r="26" spans="1:6" ht="12.75">
      <c r="A26" s="20"/>
      <c r="B26" s="21"/>
      <c r="C26" s="15">
        <f t="shared" si="1"/>
        <v>10</v>
      </c>
      <c r="D26" s="24" t="s">
        <v>35</v>
      </c>
      <c r="E26" s="35">
        <v>2135</v>
      </c>
      <c r="F26" s="36"/>
    </row>
    <row r="27" spans="1:6" ht="12.75">
      <c r="A27" s="20"/>
      <c r="B27" s="21" t="s">
        <v>36</v>
      </c>
      <c r="C27" s="15">
        <f t="shared" si="1"/>
        <v>11</v>
      </c>
      <c r="D27" s="24" t="s">
        <v>37</v>
      </c>
      <c r="E27" s="35">
        <v>170</v>
      </c>
      <c r="F27" s="36"/>
    </row>
    <row r="28" spans="1:6" ht="13.5" thickBot="1">
      <c r="A28" s="26"/>
      <c r="B28" s="27"/>
      <c r="C28" s="27"/>
      <c r="D28" s="28" t="s">
        <v>21</v>
      </c>
      <c r="E28" s="29"/>
      <c r="F28" s="37">
        <f>SUM(E17:E27)</f>
        <v>6665</v>
      </c>
    </row>
    <row r="29" spans="1:6" ht="12.75">
      <c r="A29" s="8" t="s">
        <v>38</v>
      </c>
      <c r="B29" s="9" t="s">
        <v>39</v>
      </c>
      <c r="C29" s="9">
        <v>1</v>
      </c>
      <c r="D29" s="10" t="s">
        <v>40</v>
      </c>
      <c r="E29" s="38">
        <v>238</v>
      </c>
      <c r="F29" s="12"/>
    </row>
    <row r="30" spans="1:6" ht="12.75">
      <c r="A30" s="14"/>
      <c r="B30" s="15" t="s">
        <v>41</v>
      </c>
      <c r="C30" s="15">
        <v>2</v>
      </c>
      <c r="D30" s="16" t="s">
        <v>42</v>
      </c>
      <c r="E30" s="25">
        <v>4000</v>
      </c>
      <c r="F30" s="19"/>
    </row>
    <row r="31" spans="1:6" ht="12.75">
      <c r="A31" s="20"/>
      <c r="B31" s="21"/>
      <c r="C31" s="15">
        <v>3</v>
      </c>
      <c r="D31" s="24" t="s">
        <v>43</v>
      </c>
      <c r="E31" s="35">
        <v>2500</v>
      </c>
      <c r="F31" s="36"/>
    </row>
    <row r="32" spans="1:6" ht="12.75">
      <c r="A32" s="20"/>
      <c r="B32" s="21"/>
      <c r="C32" s="15">
        <v>4</v>
      </c>
      <c r="D32" s="24" t="s">
        <v>44</v>
      </c>
      <c r="E32" s="35">
        <f>24*12</f>
        <v>288</v>
      </c>
      <c r="F32" s="36"/>
    </row>
    <row r="33" spans="1:6" ht="13.5" thickBot="1">
      <c r="A33" s="26"/>
      <c r="B33" s="27"/>
      <c r="C33" s="27"/>
      <c r="D33" s="28" t="s">
        <v>21</v>
      </c>
      <c r="E33" s="29"/>
      <c r="F33" s="37">
        <f>SUM(E29:E32)</f>
        <v>7026</v>
      </c>
    </row>
    <row r="34" spans="1:6" ht="12.75">
      <c r="A34" s="8" t="s">
        <v>45</v>
      </c>
      <c r="B34" s="39" t="s">
        <v>46</v>
      </c>
      <c r="C34" s="39">
        <v>1</v>
      </c>
      <c r="D34" s="10" t="s">
        <v>47</v>
      </c>
      <c r="E34" s="38">
        <v>134</v>
      </c>
      <c r="F34" s="12"/>
    </row>
    <row r="35" spans="1:6" ht="12.75">
      <c r="A35" s="31"/>
      <c r="B35" s="40"/>
      <c r="C35" s="40">
        <v>2</v>
      </c>
      <c r="D35" s="22" t="s">
        <v>48</v>
      </c>
      <c r="E35" s="33">
        <v>300</v>
      </c>
      <c r="F35" s="34"/>
    </row>
    <row r="36" spans="1:6" ht="12.75">
      <c r="A36" s="14"/>
      <c r="B36" s="41"/>
      <c r="C36" s="41">
        <v>3</v>
      </c>
      <c r="D36" s="16" t="s">
        <v>49</v>
      </c>
      <c r="E36" s="25">
        <v>446</v>
      </c>
      <c r="F36" s="19"/>
    </row>
    <row r="37" spans="1:6" ht="12.75">
      <c r="A37" s="20"/>
      <c r="B37" s="42"/>
      <c r="C37" s="42">
        <v>4</v>
      </c>
      <c r="D37" s="24" t="s">
        <v>50</v>
      </c>
      <c r="E37" s="43">
        <f>120+418</f>
        <v>538</v>
      </c>
      <c r="F37" s="36"/>
    </row>
    <row r="38" spans="1:6" ht="13.5" thickBot="1">
      <c r="A38" s="26"/>
      <c r="B38" s="44"/>
      <c r="C38" s="44"/>
      <c r="D38" s="28" t="s">
        <v>21</v>
      </c>
      <c r="E38" s="29"/>
      <c r="F38" s="37">
        <f>SUM(E34:E37)</f>
        <v>1418</v>
      </c>
    </row>
    <row r="39" spans="1:6" ht="13.5" thickBot="1">
      <c r="A39" s="45" t="s">
        <v>51</v>
      </c>
      <c r="B39" s="46" t="s">
        <v>52</v>
      </c>
      <c r="C39" s="46"/>
      <c r="D39" s="47"/>
      <c r="E39" s="48">
        <v>1100</v>
      </c>
      <c r="F39" s="49">
        <f>SUM(E39)</f>
        <v>1100</v>
      </c>
    </row>
    <row r="40" spans="1:6" ht="13.5" thickBot="1">
      <c r="A40" s="45" t="s">
        <v>53</v>
      </c>
      <c r="B40" s="46" t="s">
        <v>54</v>
      </c>
      <c r="C40" s="46"/>
      <c r="D40" s="47"/>
      <c r="E40" s="48">
        <v>400</v>
      </c>
      <c r="F40" s="49">
        <f>SUM(E40)</f>
        <v>400</v>
      </c>
    </row>
    <row r="41" spans="1:6" ht="12.75">
      <c r="A41" s="31" t="s">
        <v>55</v>
      </c>
      <c r="B41" s="40" t="s">
        <v>56</v>
      </c>
      <c r="C41" s="40">
        <v>1</v>
      </c>
      <c r="D41" s="22" t="s">
        <v>57</v>
      </c>
      <c r="E41" s="33">
        <v>650</v>
      </c>
      <c r="F41" s="34"/>
    </row>
    <row r="42" spans="1:6" ht="12.75">
      <c r="A42" s="31"/>
      <c r="B42" s="40"/>
      <c r="C42" s="40">
        <f>+C41+1</f>
        <v>2</v>
      </c>
      <c r="D42" s="22" t="s">
        <v>58</v>
      </c>
      <c r="E42" s="33">
        <v>1050</v>
      </c>
      <c r="F42" s="34"/>
    </row>
    <row r="43" spans="1:6" ht="12.75">
      <c r="A43" s="31"/>
      <c r="B43" s="40"/>
      <c r="C43" s="40">
        <f>+C42+1</f>
        <v>3</v>
      </c>
      <c r="D43" s="22" t="s">
        <v>59</v>
      </c>
      <c r="E43" s="33">
        <v>550</v>
      </c>
      <c r="F43" s="34"/>
    </row>
    <row r="44" spans="1:6" ht="12.75">
      <c r="A44" s="31"/>
      <c r="B44" s="40"/>
      <c r="C44" s="40">
        <f>+C43+1</f>
        <v>4</v>
      </c>
      <c r="D44" s="16" t="s">
        <v>60</v>
      </c>
      <c r="E44" s="25">
        <v>762</v>
      </c>
      <c r="F44" s="34"/>
    </row>
    <row r="45" spans="1:6" ht="13.5" thickBot="1">
      <c r="A45" s="26"/>
      <c r="B45" s="44"/>
      <c r="C45" s="44"/>
      <c r="D45" s="28" t="s">
        <v>21</v>
      </c>
      <c r="E45" s="29"/>
      <c r="F45" s="37">
        <f>SUM(E41:E44)</f>
        <v>3012</v>
      </c>
    </row>
    <row r="46" spans="1:6" ht="13.5" thickBot="1">
      <c r="A46" s="50" t="s">
        <v>61</v>
      </c>
      <c r="B46" s="46" t="s">
        <v>62</v>
      </c>
      <c r="C46" s="46"/>
      <c r="D46" s="47"/>
      <c r="E46" s="51">
        <v>610</v>
      </c>
      <c r="F46" s="49">
        <f>SUM(E46)</f>
        <v>610</v>
      </c>
    </row>
    <row r="47" spans="1:6" ht="12.75">
      <c r="A47" s="52"/>
      <c r="B47" s="39" t="s">
        <v>63</v>
      </c>
      <c r="C47" s="39"/>
      <c r="D47" s="10"/>
      <c r="E47" s="38"/>
      <c r="F47" s="53">
        <f>SUM(F3:F46)</f>
        <v>64906.88</v>
      </c>
    </row>
    <row r="48" spans="1:9" ht="13.5" thickBot="1">
      <c r="A48" s="54"/>
      <c r="B48" s="44" t="s">
        <v>64</v>
      </c>
      <c r="C48" s="44"/>
      <c r="D48" s="28"/>
      <c r="E48" s="29"/>
      <c r="F48" s="55">
        <f>+F47-610</f>
        <v>64296.88</v>
      </c>
      <c r="G48" t="s">
        <v>65</v>
      </c>
      <c r="H48" s="56">
        <f>+F48-F33</f>
        <v>57270.88</v>
      </c>
      <c r="I48" s="13"/>
    </row>
    <row r="49" spans="1:6" ht="18.75" thickBot="1">
      <c r="A49" s="1" t="s">
        <v>66</v>
      </c>
      <c r="B49" s="57"/>
      <c r="C49" s="57"/>
      <c r="D49" s="57"/>
      <c r="E49" s="216" t="s">
        <v>185</v>
      </c>
      <c r="F49" s="217"/>
    </row>
    <row r="50" spans="1:6" ht="13.5" thickBot="1">
      <c r="A50" s="58" t="s">
        <v>0</v>
      </c>
      <c r="B50" s="59" t="s">
        <v>1</v>
      </c>
      <c r="C50" s="59" t="s">
        <v>2</v>
      </c>
      <c r="D50" s="60" t="s">
        <v>3</v>
      </c>
      <c r="E50" s="61"/>
      <c r="F50" s="62" t="s">
        <v>4</v>
      </c>
    </row>
    <row r="51" spans="1:6" ht="12.75">
      <c r="A51" s="8" t="s">
        <v>5</v>
      </c>
      <c r="B51" s="39" t="s">
        <v>67</v>
      </c>
      <c r="C51" s="39">
        <v>1</v>
      </c>
      <c r="D51" s="10" t="s">
        <v>68</v>
      </c>
      <c r="E51" s="63">
        <v>2627</v>
      </c>
      <c r="F51" s="64"/>
    </row>
    <row r="52" spans="1:6" ht="12.75">
      <c r="A52" s="31"/>
      <c r="B52" s="40"/>
      <c r="C52" s="40">
        <v>2</v>
      </c>
      <c r="D52" s="22" t="s">
        <v>69</v>
      </c>
      <c r="E52" s="65">
        <v>250</v>
      </c>
      <c r="F52" s="66"/>
    </row>
    <row r="53" spans="1:6" ht="12.75">
      <c r="A53" s="14"/>
      <c r="B53" s="41"/>
      <c r="C53" s="40">
        <f aca="true" t="shared" si="2" ref="C53:C59">+C52+1</f>
        <v>3</v>
      </c>
      <c r="D53" s="16" t="s">
        <v>70</v>
      </c>
      <c r="E53" s="65">
        <v>542</v>
      </c>
      <c r="F53" s="66"/>
    </row>
    <row r="54" spans="1:6" ht="12.75">
      <c r="A54" s="14"/>
      <c r="B54" s="41"/>
      <c r="C54" s="40">
        <f t="shared" si="2"/>
        <v>4</v>
      </c>
      <c r="D54" s="16" t="s">
        <v>71</v>
      </c>
      <c r="E54" s="65">
        <v>81</v>
      </c>
      <c r="F54" s="67"/>
    </row>
    <row r="55" spans="1:6" ht="12.75">
      <c r="A55" s="14"/>
      <c r="B55" s="41"/>
      <c r="C55" s="40">
        <f t="shared" si="2"/>
        <v>5</v>
      </c>
      <c r="D55" s="16" t="s">
        <v>72</v>
      </c>
      <c r="E55" s="65">
        <v>0</v>
      </c>
      <c r="F55" s="67"/>
    </row>
    <row r="56" spans="1:6" ht="12.75">
      <c r="A56" s="14"/>
      <c r="B56" s="41"/>
      <c r="C56" s="40">
        <f t="shared" si="2"/>
        <v>6</v>
      </c>
      <c r="D56" s="16" t="s">
        <v>73</v>
      </c>
      <c r="E56" s="65">
        <v>306</v>
      </c>
      <c r="F56" s="66"/>
    </row>
    <row r="57" spans="1:6" ht="12.75">
      <c r="A57" s="14"/>
      <c r="B57" s="41"/>
      <c r="C57" s="40">
        <f t="shared" si="2"/>
        <v>7</v>
      </c>
      <c r="D57" s="16" t="s">
        <v>74</v>
      </c>
      <c r="E57" s="65">
        <v>377</v>
      </c>
      <c r="F57" s="66"/>
    </row>
    <row r="58" spans="1:6" ht="12.75">
      <c r="A58" s="14"/>
      <c r="B58" s="41"/>
      <c r="C58" s="40">
        <f t="shared" si="2"/>
        <v>8</v>
      </c>
      <c r="D58" s="16" t="s">
        <v>75</v>
      </c>
      <c r="E58" s="65">
        <v>789</v>
      </c>
      <c r="F58" s="66"/>
    </row>
    <row r="59" spans="1:6" ht="12.75">
      <c r="A59" s="20"/>
      <c r="B59" s="42"/>
      <c r="C59" s="40">
        <f t="shared" si="2"/>
        <v>9</v>
      </c>
      <c r="D59" s="24" t="s">
        <v>76</v>
      </c>
      <c r="E59" s="65">
        <v>181</v>
      </c>
      <c r="F59" s="66"/>
    </row>
    <row r="60" spans="1:6" ht="13.5" thickBot="1">
      <c r="A60" s="20"/>
      <c r="B60" s="42"/>
      <c r="C60" s="42"/>
      <c r="D60" s="24" t="s">
        <v>21</v>
      </c>
      <c r="E60" s="68"/>
      <c r="F60" s="69">
        <f>SUM(E51:E59)</f>
        <v>5153</v>
      </c>
    </row>
    <row r="61" spans="1:6" ht="12.75">
      <c r="A61" s="8" t="s">
        <v>16</v>
      </c>
      <c r="B61" s="39" t="s">
        <v>77</v>
      </c>
      <c r="C61" s="39">
        <v>1</v>
      </c>
      <c r="D61" s="10" t="s">
        <v>78</v>
      </c>
      <c r="E61" s="63">
        <f>25398-22-1407+350</f>
        <v>24319</v>
      </c>
      <c r="F61" s="70"/>
    </row>
    <row r="62" spans="1:6" ht="12.75">
      <c r="A62" s="14"/>
      <c r="B62" s="41"/>
      <c r="C62" s="41">
        <v>2</v>
      </c>
      <c r="D62" s="16" t="s">
        <v>79</v>
      </c>
      <c r="E62" s="65">
        <v>820</v>
      </c>
      <c r="F62" s="71"/>
    </row>
    <row r="63" spans="1:6" ht="13.5" thickBot="1">
      <c r="A63" s="26"/>
      <c r="B63" s="44"/>
      <c r="C63" s="44"/>
      <c r="D63" s="28" t="s">
        <v>4</v>
      </c>
      <c r="E63" s="72"/>
      <c r="F63" s="73">
        <f>SUM(E61:E62)</f>
        <v>25139</v>
      </c>
    </row>
    <row r="64" spans="1:6" ht="12.75">
      <c r="A64" s="31" t="s">
        <v>22</v>
      </c>
      <c r="B64" s="40" t="s">
        <v>80</v>
      </c>
      <c r="C64" s="40">
        <v>1</v>
      </c>
      <c r="D64" s="22" t="s">
        <v>81</v>
      </c>
      <c r="E64" s="63">
        <v>1000</v>
      </c>
      <c r="F64" s="64"/>
    </row>
    <row r="65" spans="1:6" ht="12.75">
      <c r="A65" s="14"/>
      <c r="B65" s="41"/>
      <c r="C65" s="41">
        <v>2</v>
      </c>
      <c r="D65" s="16" t="s">
        <v>82</v>
      </c>
      <c r="E65" s="65">
        <f>750*0.95+0.5</f>
        <v>713</v>
      </c>
      <c r="F65" s="66"/>
    </row>
    <row r="66" spans="1:6" ht="12.75">
      <c r="A66" s="14"/>
      <c r="B66" s="41"/>
      <c r="C66" s="41">
        <v>3</v>
      </c>
      <c r="D66" s="16" t="s">
        <v>132</v>
      </c>
      <c r="E66" s="65">
        <v>360</v>
      </c>
      <c r="F66" s="66"/>
    </row>
    <row r="67" spans="1:7" ht="12.75">
      <c r="A67" s="14"/>
      <c r="B67" s="41"/>
      <c r="C67" s="41">
        <v>4</v>
      </c>
      <c r="D67" s="16" t="s">
        <v>136</v>
      </c>
      <c r="E67" s="65">
        <v>100</v>
      </c>
      <c r="F67" s="66"/>
      <c r="G67" t="s">
        <v>184</v>
      </c>
    </row>
    <row r="68" spans="1:6" ht="12.75">
      <c r="A68" s="14"/>
      <c r="B68" s="41"/>
      <c r="C68" s="41">
        <v>5</v>
      </c>
      <c r="D68" s="16" t="s">
        <v>83</v>
      </c>
      <c r="E68" s="74">
        <v>320</v>
      </c>
      <c r="F68" s="66"/>
    </row>
    <row r="69" spans="1:6" ht="13.5" thickBot="1">
      <c r="A69" s="20"/>
      <c r="B69" s="42"/>
      <c r="C69" s="42"/>
      <c r="D69" s="24" t="s">
        <v>21</v>
      </c>
      <c r="E69" s="75"/>
      <c r="F69" s="76">
        <f>SUM(E64:E68)</f>
        <v>2493</v>
      </c>
    </row>
    <row r="70" spans="1:6" ht="12.75">
      <c r="A70" s="8" t="s">
        <v>38</v>
      </c>
      <c r="B70" s="77" t="s">
        <v>84</v>
      </c>
      <c r="C70" s="39">
        <v>1</v>
      </c>
      <c r="D70" s="10" t="s">
        <v>85</v>
      </c>
      <c r="E70" s="78">
        <v>29500</v>
      </c>
      <c r="F70" s="64"/>
    </row>
    <row r="71" spans="1:6" ht="12.75">
      <c r="A71" s="20"/>
      <c r="B71" s="42"/>
      <c r="C71" s="40">
        <f aca="true" t="shared" si="3" ref="C71:C80">+C70+1</f>
        <v>2</v>
      </c>
      <c r="D71" s="16" t="s">
        <v>86</v>
      </c>
      <c r="E71" s="74">
        <v>100</v>
      </c>
      <c r="F71" s="79"/>
    </row>
    <row r="72" spans="1:6" ht="12.75">
      <c r="A72" s="20"/>
      <c r="B72" s="42"/>
      <c r="C72" s="40">
        <f t="shared" si="3"/>
        <v>3</v>
      </c>
      <c r="D72" s="16" t="s">
        <v>87</v>
      </c>
      <c r="E72" s="74">
        <v>6255</v>
      </c>
      <c r="F72" s="79"/>
    </row>
    <row r="73" spans="1:6" ht="12.75">
      <c r="A73" s="20"/>
      <c r="B73" s="42"/>
      <c r="C73" s="40">
        <f t="shared" si="3"/>
        <v>4</v>
      </c>
      <c r="D73" s="16" t="s">
        <v>88</v>
      </c>
      <c r="E73" s="74">
        <f>6530-3500</f>
        <v>3030</v>
      </c>
      <c r="F73" s="79"/>
    </row>
    <row r="74" spans="1:6" ht="12.75">
      <c r="A74" s="20"/>
      <c r="B74" s="42"/>
      <c r="C74" s="40">
        <f t="shared" si="3"/>
        <v>5</v>
      </c>
      <c r="D74" s="16" t="s">
        <v>89</v>
      </c>
      <c r="E74" s="74">
        <v>400</v>
      </c>
      <c r="F74" s="79"/>
    </row>
    <row r="75" spans="1:6" ht="12.75">
      <c r="A75" s="20"/>
      <c r="B75" s="42"/>
      <c r="C75" s="40">
        <f t="shared" si="3"/>
        <v>6</v>
      </c>
      <c r="D75" s="16" t="s">
        <v>90</v>
      </c>
      <c r="E75" s="74">
        <v>500</v>
      </c>
      <c r="F75" s="79"/>
    </row>
    <row r="76" spans="1:6" ht="12.75">
      <c r="A76" s="20"/>
      <c r="B76" s="42"/>
      <c r="C76" s="40">
        <f t="shared" si="3"/>
        <v>7</v>
      </c>
      <c r="D76" s="16" t="s">
        <v>91</v>
      </c>
      <c r="E76" s="75">
        <f>2305</f>
        <v>2305</v>
      </c>
      <c r="F76" s="79"/>
    </row>
    <row r="77" spans="1:6" ht="12.75">
      <c r="A77" s="20"/>
      <c r="B77" s="42"/>
      <c r="C77" s="40">
        <f t="shared" si="3"/>
        <v>8</v>
      </c>
      <c r="D77" s="16" t="s">
        <v>133</v>
      </c>
      <c r="E77" s="75"/>
      <c r="F77" s="79"/>
    </row>
    <row r="78" spans="1:6" ht="12.75">
      <c r="A78" s="20"/>
      <c r="B78" s="42"/>
      <c r="C78" s="40">
        <f t="shared" si="3"/>
        <v>9</v>
      </c>
      <c r="D78" s="16" t="s">
        <v>134</v>
      </c>
      <c r="E78" s="75"/>
      <c r="F78" s="79"/>
    </row>
    <row r="79" spans="1:6" ht="12.75">
      <c r="A79" s="20"/>
      <c r="B79" s="42"/>
      <c r="C79" s="40">
        <f t="shared" si="3"/>
        <v>10</v>
      </c>
      <c r="D79" s="16" t="s">
        <v>135</v>
      </c>
      <c r="E79" s="75"/>
      <c r="F79" s="79"/>
    </row>
    <row r="80" spans="1:6" ht="12.75">
      <c r="A80" s="20"/>
      <c r="B80" s="42"/>
      <c r="C80" s="40">
        <f t="shared" si="3"/>
        <v>11</v>
      </c>
      <c r="D80" s="16" t="s">
        <v>92</v>
      </c>
      <c r="E80" s="75">
        <v>700</v>
      </c>
      <c r="F80" s="79"/>
    </row>
    <row r="81" spans="1:6" ht="13.5" thickBot="1">
      <c r="A81" s="26"/>
      <c r="B81" s="44"/>
      <c r="C81" s="40"/>
      <c r="D81" s="80" t="s">
        <v>21</v>
      </c>
      <c r="E81" s="68"/>
      <c r="F81" s="81">
        <f>SUM(E70:E80)</f>
        <v>42790</v>
      </c>
    </row>
    <row r="82" spans="1:6" ht="12.75">
      <c r="A82" s="8" t="s">
        <v>45</v>
      </c>
      <c r="B82" s="39" t="s">
        <v>93</v>
      </c>
      <c r="C82" s="39">
        <v>1</v>
      </c>
      <c r="D82" s="82" t="s">
        <v>94</v>
      </c>
      <c r="E82" s="83">
        <v>150</v>
      </c>
      <c r="F82" s="84"/>
    </row>
    <row r="83" spans="1:6" ht="12.75">
      <c r="A83" s="14"/>
      <c r="B83" s="41"/>
      <c r="C83" s="41">
        <f aca="true" t="shared" si="4" ref="C83:C90">+C82+1</f>
        <v>2</v>
      </c>
      <c r="D83" s="16" t="s">
        <v>95</v>
      </c>
      <c r="E83" s="74">
        <v>400</v>
      </c>
      <c r="F83" s="66"/>
    </row>
    <row r="84" spans="1:7" ht="12.75">
      <c r="A84" s="14"/>
      <c r="B84" s="41"/>
      <c r="C84" s="41">
        <f t="shared" si="4"/>
        <v>3</v>
      </c>
      <c r="D84" s="16" t="s">
        <v>96</v>
      </c>
      <c r="E84" s="74">
        <v>100</v>
      </c>
      <c r="F84" s="66"/>
      <c r="G84" t="s">
        <v>183</v>
      </c>
    </row>
    <row r="85" spans="1:6" ht="12.75">
      <c r="A85" s="14"/>
      <c r="B85" s="41"/>
      <c r="C85" s="41">
        <f t="shared" si="4"/>
        <v>4</v>
      </c>
      <c r="D85" s="16" t="s">
        <v>97</v>
      </c>
      <c r="E85" s="74">
        <v>360</v>
      </c>
      <c r="F85" s="66"/>
    </row>
    <row r="86" spans="1:6" ht="12.75">
      <c r="A86" s="14"/>
      <c r="B86" s="41"/>
      <c r="C86" s="41">
        <f t="shared" si="4"/>
        <v>5</v>
      </c>
      <c r="D86" s="16" t="s">
        <v>98</v>
      </c>
      <c r="E86" s="74">
        <v>5290</v>
      </c>
      <c r="F86" s="66"/>
    </row>
    <row r="87" spans="1:6" ht="12.75">
      <c r="A87" s="14"/>
      <c r="B87" s="41"/>
      <c r="C87" s="41">
        <f t="shared" si="4"/>
        <v>6</v>
      </c>
      <c r="D87" s="16" t="s">
        <v>99</v>
      </c>
      <c r="E87" s="74">
        <v>1350</v>
      </c>
      <c r="F87" s="66"/>
    </row>
    <row r="88" spans="1:6" ht="12.75">
      <c r="A88" s="14"/>
      <c r="B88" s="41"/>
      <c r="C88" s="41">
        <f t="shared" si="4"/>
        <v>7</v>
      </c>
      <c r="D88" s="16" t="s">
        <v>100</v>
      </c>
      <c r="E88" s="74">
        <v>1535</v>
      </c>
      <c r="F88" s="66"/>
    </row>
    <row r="89" spans="1:6" ht="12.75">
      <c r="A89" s="14"/>
      <c r="B89" s="41"/>
      <c r="C89" s="41">
        <f t="shared" si="4"/>
        <v>8</v>
      </c>
      <c r="D89" s="16" t="s">
        <v>101</v>
      </c>
      <c r="E89" s="65">
        <v>542</v>
      </c>
      <c r="F89" s="66"/>
    </row>
    <row r="90" spans="1:6" ht="12.75">
      <c r="A90" s="20"/>
      <c r="B90" s="42"/>
      <c r="C90" s="41">
        <f t="shared" si="4"/>
        <v>9</v>
      </c>
      <c r="D90" s="24" t="s">
        <v>102</v>
      </c>
      <c r="E90" s="85">
        <v>60</v>
      </c>
      <c r="F90" s="79"/>
    </row>
    <row r="91" spans="1:6" ht="13.5" thickBot="1">
      <c r="A91" s="26"/>
      <c r="B91" s="44"/>
      <c r="C91" s="44"/>
      <c r="D91" s="28" t="s">
        <v>21</v>
      </c>
      <c r="E91" s="68"/>
      <c r="F91" s="73">
        <f>SUM(E82:E90)</f>
        <v>9787</v>
      </c>
    </row>
    <row r="92" spans="1:6" ht="12.75">
      <c r="A92" s="8" t="s">
        <v>51</v>
      </c>
      <c r="B92" s="39" t="s">
        <v>103</v>
      </c>
      <c r="C92" s="39">
        <v>1</v>
      </c>
      <c r="D92" s="10" t="s">
        <v>104</v>
      </c>
      <c r="E92" s="78">
        <v>700</v>
      </c>
      <c r="F92" s="64"/>
    </row>
    <row r="93" spans="1:6" ht="12.75">
      <c r="A93" s="31"/>
      <c r="B93" s="40"/>
      <c r="C93" s="41">
        <f aca="true" t="shared" si="5" ref="C93:C100">+C92+1</f>
        <v>2</v>
      </c>
      <c r="D93" s="22" t="s">
        <v>105</v>
      </c>
      <c r="E93" s="83">
        <v>90</v>
      </c>
      <c r="F93" s="84"/>
    </row>
    <row r="94" spans="1:6" ht="12.75">
      <c r="A94" s="31"/>
      <c r="B94" s="40"/>
      <c r="C94" s="41">
        <f t="shared" si="5"/>
        <v>3</v>
      </c>
      <c r="D94" s="16" t="s">
        <v>106</v>
      </c>
      <c r="E94" s="65">
        <v>900</v>
      </c>
      <c r="F94" s="84"/>
    </row>
    <row r="95" spans="1:6" ht="12.75">
      <c r="A95" s="14"/>
      <c r="B95" s="41"/>
      <c r="C95" s="41">
        <f t="shared" si="5"/>
        <v>4</v>
      </c>
      <c r="D95" s="16" t="s">
        <v>107</v>
      </c>
      <c r="E95" s="75">
        <f>-10824+1000+325</f>
        <v>-9499</v>
      </c>
      <c r="F95" s="66"/>
    </row>
    <row r="96" spans="1:6" ht="12.75">
      <c r="A96" s="20"/>
      <c r="B96" s="42"/>
      <c r="C96" s="41">
        <f t="shared" si="5"/>
        <v>5</v>
      </c>
      <c r="D96" s="16" t="s">
        <v>108</v>
      </c>
      <c r="E96" s="85">
        <v>124</v>
      </c>
      <c r="F96" s="79"/>
    </row>
    <row r="97" spans="1:6" ht="12.75">
      <c r="A97" s="20"/>
      <c r="B97" s="42"/>
      <c r="C97" s="41">
        <f t="shared" si="5"/>
        <v>6</v>
      </c>
      <c r="D97" s="16" t="s">
        <v>109</v>
      </c>
      <c r="E97" s="85">
        <v>482</v>
      </c>
      <c r="F97" s="79"/>
    </row>
    <row r="98" spans="1:6" ht="12.75">
      <c r="A98" s="20"/>
      <c r="B98" s="42"/>
      <c r="C98" s="41">
        <f t="shared" si="5"/>
        <v>7</v>
      </c>
      <c r="D98" s="16" t="s">
        <v>110</v>
      </c>
      <c r="E98" s="85">
        <v>89</v>
      </c>
      <c r="F98" s="79"/>
    </row>
    <row r="99" spans="1:6" ht="12.75">
      <c r="A99" s="20"/>
      <c r="B99" s="42"/>
      <c r="C99" s="41">
        <f t="shared" si="5"/>
        <v>8</v>
      </c>
      <c r="D99" s="16" t="s">
        <v>13</v>
      </c>
      <c r="E99" s="85">
        <v>0</v>
      </c>
      <c r="F99" s="79"/>
    </row>
    <row r="100" spans="1:6" ht="12.75">
      <c r="A100" s="20"/>
      <c r="B100" s="42"/>
      <c r="C100" s="41">
        <f t="shared" si="5"/>
        <v>9</v>
      </c>
      <c r="D100" s="16" t="s">
        <v>111</v>
      </c>
      <c r="E100" s="75">
        <v>704</v>
      </c>
      <c r="F100" s="79"/>
    </row>
    <row r="101" spans="1:6" ht="13.5" thickBot="1">
      <c r="A101" s="26"/>
      <c r="B101" s="44"/>
      <c r="C101" s="44"/>
      <c r="D101" s="28" t="s">
        <v>21</v>
      </c>
      <c r="E101" s="68"/>
      <c r="F101" s="73">
        <f>SUM(E92:E100)</f>
        <v>-6410</v>
      </c>
    </row>
    <row r="102" spans="1:6" ht="12.75">
      <c r="A102" s="8" t="s">
        <v>53</v>
      </c>
      <c r="B102" s="39" t="s">
        <v>112</v>
      </c>
      <c r="C102" s="39">
        <v>1</v>
      </c>
      <c r="D102" s="22" t="s">
        <v>9</v>
      </c>
      <c r="E102" s="86">
        <v>0</v>
      </c>
      <c r="F102" s="64"/>
    </row>
    <row r="103" spans="1:6" ht="12.75">
      <c r="A103" s="14"/>
      <c r="B103" s="41"/>
      <c r="C103" s="41">
        <v>2</v>
      </c>
      <c r="D103" s="23" t="s">
        <v>113</v>
      </c>
      <c r="E103" s="74">
        <v>840</v>
      </c>
      <c r="F103" s="66"/>
    </row>
    <row r="104" spans="1:6" ht="13.5" thickBot="1">
      <c r="A104" s="26"/>
      <c r="B104" s="44"/>
      <c r="C104" s="44"/>
      <c r="D104" s="80" t="s">
        <v>4</v>
      </c>
      <c r="E104" s="68"/>
      <c r="F104" s="73">
        <f>SUM(E102:E103)</f>
        <v>840</v>
      </c>
    </row>
    <row r="105" spans="1:6" ht="13.5" thickBot="1">
      <c r="A105" s="87" t="s">
        <v>55</v>
      </c>
      <c r="B105" s="88" t="s">
        <v>52</v>
      </c>
      <c r="C105" s="88"/>
      <c r="D105" s="80"/>
      <c r="E105" s="89">
        <v>900</v>
      </c>
      <c r="F105" s="90">
        <f>SUM(E105)</f>
        <v>900</v>
      </c>
    </row>
    <row r="106" spans="1:6" ht="13.5" thickBot="1">
      <c r="A106" s="91" t="s">
        <v>61</v>
      </c>
      <c r="B106" s="46" t="s">
        <v>62</v>
      </c>
      <c r="C106" s="77"/>
      <c r="D106" s="92"/>
      <c r="E106" s="93">
        <v>610</v>
      </c>
      <c r="F106" s="94">
        <f>SUM(E106)</f>
        <v>610</v>
      </c>
    </row>
    <row r="107" spans="1:6" ht="12.75">
      <c r="A107" s="52"/>
      <c r="B107" s="39" t="s">
        <v>114</v>
      </c>
      <c r="C107" s="39"/>
      <c r="D107" s="10"/>
      <c r="E107" s="78"/>
      <c r="F107" s="95">
        <f>SUM(F60:F106)</f>
        <v>81302</v>
      </c>
    </row>
    <row r="108" spans="1:9" ht="13.5" thickBot="1">
      <c r="A108" s="54"/>
      <c r="B108" s="44" t="s">
        <v>115</v>
      </c>
      <c r="C108" s="44"/>
      <c r="D108" s="28"/>
      <c r="E108" s="68"/>
      <c r="F108" s="96">
        <f>+F107-610</f>
        <v>80692</v>
      </c>
      <c r="G108" t="s">
        <v>116</v>
      </c>
      <c r="H108" s="56">
        <f>+F108-F81+10824-60</f>
        <v>48666</v>
      </c>
      <c r="I108" s="13"/>
    </row>
    <row r="109" spans="1:6" ht="13.5" thickBot="1">
      <c r="A109" s="97"/>
      <c r="B109" s="97"/>
      <c r="C109" s="97"/>
      <c r="D109" s="97"/>
      <c r="E109" s="98"/>
      <c r="F109" s="99"/>
    </row>
    <row r="110" spans="1:9" ht="13.5" thickBot="1">
      <c r="A110" s="100"/>
      <c r="B110" s="101" t="s">
        <v>117</v>
      </c>
      <c r="C110" s="102"/>
      <c r="D110" s="103"/>
      <c r="E110" s="94"/>
      <c r="F110" s="94">
        <f>+F48-F108</f>
        <v>-16395.120000000003</v>
      </c>
      <c r="G110" t="s">
        <v>118</v>
      </c>
      <c r="H110" s="56">
        <f>+H48-H108</f>
        <v>8604.879999999997</v>
      </c>
      <c r="I110" s="56">
        <f>+H110+E112</f>
        <v>26.87999999999738</v>
      </c>
    </row>
    <row r="111" spans="1:8" ht="12.75">
      <c r="A111" s="97"/>
      <c r="B111" s="104" t="s">
        <v>119</v>
      </c>
      <c r="C111" s="52" t="s">
        <v>120</v>
      </c>
      <c r="D111" s="105"/>
      <c r="E111" s="83">
        <v>25000</v>
      </c>
      <c r="F111" s="106"/>
      <c r="G111" t="s">
        <v>121</v>
      </c>
      <c r="H111" s="13">
        <f>+H110/H48</f>
        <v>0.15024878262740152</v>
      </c>
    </row>
    <row r="112" spans="2:6" ht="12.75">
      <c r="B112" s="104"/>
      <c r="C112" s="107" t="s">
        <v>122</v>
      </c>
      <c r="D112" s="108"/>
      <c r="E112" s="110">
        <f>-606-224-3000-1875-2873</f>
        <v>-8578</v>
      </c>
      <c r="F112" s="111"/>
    </row>
    <row r="113" spans="2:7" ht="13.5" thickBot="1">
      <c r="B113" s="112" t="s">
        <v>123</v>
      </c>
      <c r="C113" s="54" t="s">
        <v>124</v>
      </c>
      <c r="D113" s="113"/>
      <c r="E113" s="72">
        <v>-27</v>
      </c>
      <c r="F113" s="73">
        <f>SUM(E111:E113)</f>
        <v>16395</v>
      </c>
      <c r="G113" s="56">
        <f>SUM(F110:F113)</f>
        <v>-0.12000000000261934</v>
      </c>
    </row>
    <row r="114" spans="2:6" ht="12.75">
      <c r="B114" s="114" t="s">
        <v>125</v>
      </c>
      <c r="C114" s="40"/>
      <c r="D114" s="40"/>
      <c r="E114" s="115">
        <v>3802</v>
      </c>
      <c r="F114" s="106" t="s">
        <v>126</v>
      </c>
    </row>
    <row r="115" spans="2:6" ht="12.75">
      <c r="B115" s="107" t="s">
        <v>127</v>
      </c>
      <c r="C115" s="41"/>
      <c r="D115" s="41"/>
      <c r="E115" s="116">
        <f>+E113-E118</f>
        <v>-27</v>
      </c>
      <c r="F115" s="71" t="s">
        <v>126</v>
      </c>
    </row>
    <row r="116" spans="2:6" ht="13.5" thickBot="1">
      <c r="B116" s="54" t="s">
        <v>128</v>
      </c>
      <c r="C116" s="44"/>
      <c r="D116" s="44"/>
      <c r="E116" s="117">
        <f>+E114-E115</f>
        <v>3829</v>
      </c>
      <c r="F116" s="73" t="s">
        <v>126</v>
      </c>
    </row>
    <row r="117" spans="2:6" ht="12.75">
      <c r="B117" s="52" t="s">
        <v>129</v>
      </c>
      <c r="C117" s="39"/>
      <c r="D117" s="39"/>
      <c r="E117" s="118">
        <v>174</v>
      </c>
      <c r="F117" s="64" t="s">
        <v>126</v>
      </c>
    </row>
    <row r="118" spans="2:6" ht="12.75">
      <c r="B118" s="107" t="s">
        <v>130</v>
      </c>
      <c r="C118" s="41"/>
      <c r="D118" s="41"/>
      <c r="E118" s="116">
        <f>E106-E46</f>
        <v>0</v>
      </c>
      <c r="F118" s="66" t="s">
        <v>126</v>
      </c>
    </row>
    <row r="119" spans="2:6" ht="13.5" thickBot="1">
      <c r="B119" s="54" t="s">
        <v>131</v>
      </c>
      <c r="C119" s="44"/>
      <c r="D119" s="44"/>
      <c r="E119" s="117">
        <f>+E117-E118</f>
        <v>174</v>
      </c>
      <c r="F119" s="81" t="s">
        <v>126</v>
      </c>
    </row>
    <row r="121" ht="12.75">
      <c r="B121" s="97"/>
    </row>
  </sheetData>
  <mergeCells count="2">
    <mergeCell ref="E49:F49"/>
    <mergeCell ref="E1:F1"/>
  </mergeCells>
  <printOptions/>
  <pageMargins left="1.28" right="0.65" top="0.59" bottom="0.36" header="0.27" footer="0.27"/>
  <pageSetup horizontalDpi="600" verticalDpi="600" orientation="portrait" paperSize="9" scale="91" r:id="rId1"/>
  <headerFooter alignWithMargins="0">
    <oddHeader xml:space="preserve">&amp;C&amp;"Arial Black,Obyčejné"&amp;12Rozpočet města Blovice na r.2012 schválený ZM dne 30.1.2012&amp;Rč.j.00363/12 </oddHeader>
    <oddFooter>&amp;Lvyvěšeno: 
sejmuto:
&amp;Rsestavil: Ing.Hodek</oddFooter>
  </headerFooter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H92"/>
  <sheetViews>
    <sheetView workbookViewId="0" topLeftCell="A7">
      <selection activeCell="D62" sqref="D62"/>
    </sheetView>
  </sheetViews>
  <sheetFormatPr defaultColWidth="9.140625" defaultRowHeight="12.75"/>
  <cols>
    <col min="1" max="1" width="4.7109375" style="121" customWidth="1"/>
    <col min="2" max="2" width="26.57421875" style="121" customWidth="1"/>
    <col min="3" max="3" width="8.28125" style="121" customWidth="1"/>
    <col min="4" max="4" width="9.28125" style="121" customWidth="1"/>
    <col min="5" max="5" width="9.57421875" style="121" bestFit="1" customWidth="1"/>
    <col min="6" max="16384" width="8.8515625" style="121" customWidth="1"/>
  </cols>
  <sheetData>
    <row r="2" ht="18.75" thickBot="1">
      <c r="A2" s="120" t="s">
        <v>137</v>
      </c>
    </row>
    <row r="3" spans="1:8" ht="13.5" thickBot="1">
      <c r="A3" s="122" t="s">
        <v>0</v>
      </c>
      <c r="B3" s="123" t="s">
        <v>1</v>
      </c>
      <c r="C3" s="215" t="s">
        <v>182</v>
      </c>
      <c r="D3" s="125">
        <v>2012</v>
      </c>
      <c r="E3" s="125">
        <v>2013</v>
      </c>
      <c r="F3" s="125">
        <v>2014</v>
      </c>
      <c r="G3" s="125">
        <v>2015</v>
      </c>
      <c r="H3" s="125">
        <v>2016</v>
      </c>
    </row>
    <row r="4" spans="1:8" ht="12.75">
      <c r="A4" s="126" t="s">
        <v>5</v>
      </c>
      <c r="B4" s="127" t="s">
        <v>138</v>
      </c>
      <c r="C4" s="128">
        <v>48190</v>
      </c>
      <c r="D4" s="129">
        <v>13471</v>
      </c>
      <c r="E4" s="129">
        <v>14786</v>
      </c>
      <c r="F4" s="129">
        <f aca="true" t="shared" si="0" ref="F4:G12">+E4*1.05</f>
        <v>15525.300000000001</v>
      </c>
      <c r="G4" s="129">
        <f t="shared" si="0"/>
        <v>16301.565000000002</v>
      </c>
      <c r="H4" s="129">
        <f aca="true" t="shared" si="1" ref="H4:H12">+G4*1.05</f>
        <v>17116.643250000005</v>
      </c>
    </row>
    <row r="5" spans="1:8" ht="12.75">
      <c r="A5" s="130" t="s">
        <v>16</v>
      </c>
      <c r="B5" s="131" t="s">
        <v>139</v>
      </c>
      <c r="C5" s="129">
        <v>33010</v>
      </c>
      <c r="D5" s="129">
        <v>32800</v>
      </c>
      <c r="E5" s="129">
        <v>36500</v>
      </c>
      <c r="F5" s="129">
        <f t="shared" si="0"/>
        <v>38325</v>
      </c>
      <c r="G5" s="129">
        <f t="shared" si="0"/>
        <v>40241.25</v>
      </c>
      <c r="H5" s="129">
        <f t="shared" si="1"/>
        <v>42253.3125</v>
      </c>
    </row>
    <row r="6" spans="1:8" ht="12.75">
      <c r="A6" s="130" t="s">
        <v>22</v>
      </c>
      <c r="B6" s="131" t="s">
        <v>140</v>
      </c>
      <c r="C6" s="129">
        <v>6335</v>
      </c>
      <c r="D6" s="129">
        <v>6135</v>
      </c>
      <c r="E6" s="129">
        <v>6431</v>
      </c>
      <c r="F6" s="129">
        <f t="shared" si="0"/>
        <v>6752.55</v>
      </c>
      <c r="G6" s="129">
        <f t="shared" si="0"/>
        <v>7090.177500000001</v>
      </c>
      <c r="H6" s="129">
        <f t="shared" si="1"/>
        <v>7444.686375000001</v>
      </c>
    </row>
    <row r="7" spans="1:8" ht="12.75">
      <c r="A7" s="130" t="s">
        <v>38</v>
      </c>
      <c r="B7" s="131" t="s">
        <v>141</v>
      </c>
      <c r="C7" s="128">
        <v>2367</v>
      </c>
      <c r="D7" s="129">
        <v>6488</v>
      </c>
      <c r="E7" s="129">
        <v>500</v>
      </c>
      <c r="F7" s="129">
        <f t="shared" si="0"/>
        <v>525</v>
      </c>
      <c r="G7" s="129">
        <f t="shared" si="0"/>
        <v>551.25</v>
      </c>
      <c r="H7" s="129">
        <f t="shared" si="1"/>
        <v>578.8125</v>
      </c>
    </row>
    <row r="8" spans="1:8" ht="12.75">
      <c r="A8" s="130" t="s">
        <v>45</v>
      </c>
      <c r="B8" s="131" t="s">
        <v>142</v>
      </c>
      <c r="C8" s="129">
        <v>1150</v>
      </c>
      <c r="D8" s="129">
        <v>1000</v>
      </c>
      <c r="E8" s="129">
        <v>1029</v>
      </c>
      <c r="F8" s="129">
        <f t="shared" si="0"/>
        <v>1080.45</v>
      </c>
      <c r="G8" s="129">
        <f t="shared" si="0"/>
        <v>1134.4725</v>
      </c>
      <c r="H8" s="129">
        <f t="shared" si="1"/>
        <v>1191.1961250000002</v>
      </c>
    </row>
    <row r="9" spans="1:8" ht="12.75">
      <c r="A9" s="130" t="s">
        <v>51</v>
      </c>
      <c r="B9" s="131" t="s">
        <v>143</v>
      </c>
      <c r="C9" s="129">
        <v>800</v>
      </c>
      <c r="D9" s="129">
        <v>800</v>
      </c>
      <c r="E9" s="129">
        <v>1155</v>
      </c>
      <c r="F9" s="129">
        <f t="shared" si="0"/>
        <v>1212.75</v>
      </c>
      <c r="G9" s="129">
        <f t="shared" si="0"/>
        <v>1273.3875</v>
      </c>
      <c r="H9" s="129">
        <f t="shared" si="1"/>
        <v>1337.056875</v>
      </c>
    </row>
    <row r="10" spans="1:8" ht="12.75">
      <c r="A10" s="130" t="s">
        <v>53</v>
      </c>
      <c r="B10" s="131" t="s">
        <v>144</v>
      </c>
      <c r="C10" s="129">
        <v>350</v>
      </c>
      <c r="D10" s="129">
        <v>400</v>
      </c>
      <c r="E10" s="129">
        <v>525</v>
      </c>
      <c r="F10" s="129">
        <f t="shared" si="0"/>
        <v>551.25</v>
      </c>
      <c r="G10" s="129">
        <f t="shared" si="0"/>
        <v>578.8125</v>
      </c>
      <c r="H10" s="129">
        <f t="shared" si="1"/>
        <v>607.7531250000001</v>
      </c>
    </row>
    <row r="11" spans="1:8" ht="12.75">
      <c r="A11" s="130" t="s">
        <v>55</v>
      </c>
      <c r="B11" s="131" t="s">
        <v>145</v>
      </c>
      <c r="C11" s="129">
        <v>2807</v>
      </c>
      <c r="D11" s="129">
        <v>2800</v>
      </c>
      <c r="E11" s="129">
        <v>2898</v>
      </c>
      <c r="F11" s="129">
        <f t="shared" si="0"/>
        <v>3042.9</v>
      </c>
      <c r="G11" s="129">
        <f t="shared" si="0"/>
        <v>3195.045</v>
      </c>
      <c r="H11" s="129">
        <f t="shared" si="1"/>
        <v>3354.79725</v>
      </c>
    </row>
    <row r="12" spans="1:8" ht="13.5" thickBot="1">
      <c r="A12" s="133" t="s">
        <v>61</v>
      </c>
      <c r="B12" s="134" t="s">
        <v>146</v>
      </c>
      <c r="C12" s="136">
        <v>608</v>
      </c>
      <c r="D12" s="136">
        <v>610</v>
      </c>
      <c r="E12" s="136">
        <v>620</v>
      </c>
      <c r="F12" s="136">
        <f t="shared" si="0"/>
        <v>651</v>
      </c>
      <c r="G12" s="136">
        <f t="shared" si="0"/>
        <v>683.5500000000001</v>
      </c>
      <c r="H12" s="136">
        <f t="shared" si="1"/>
        <v>717.7275000000001</v>
      </c>
    </row>
    <row r="13" spans="1:8" ht="13.5" thickBot="1">
      <c r="A13" s="137"/>
      <c r="B13" s="137" t="s">
        <v>123</v>
      </c>
      <c r="C13" s="138">
        <f aca="true" t="shared" si="2" ref="C13:H13">SUM(C4:C12)</f>
        <v>95617</v>
      </c>
      <c r="D13" s="138">
        <f t="shared" si="2"/>
        <v>64504</v>
      </c>
      <c r="E13" s="138">
        <f t="shared" si="2"/>
        <v>64444</v>
      </c>
      <c r="F13" s="138">
        <f t="shared" si="2"/>
        <v>67666.2</v>
      </c>
      <c r="G13" s="138">
        <f t="shared" si="2"/>
        <v>71049.51000000001</v>
      </c>
      <c r="H13" s="138">
        <f t="shared" si="2"/>
        <v>74601.98550000001</v>
      </c>
    </row>
    <row r="14" spans="1:8" ht="13.5" thickBot="1">
      <c r="A14" s="139"/>
      <c r="B14" s="140" t="s">
        <v>147</v>
      </c>
      <c r="C14" s="141">
        <f>+C13-608</f>
        <v>95009</v>
      </c>
      <c r="D14" s="141">
        <f>+D13-610</f>
        <v>63894</v>
      </c>
      <c r="E14" s="141">
        <f>+E13</f>
        <v>64444</v>
      </c>
      <c r="F14" s="141">
        <f>+F13</f>
        <v>67666.2</v>
      </c>
      <c r="G14" s="141">
        <f>+G13</f>
        <v>71049.51000000001</v>
      </c>
      <c r="H14" s="141">
        <f>+H13</f>
        <v>74601.98550000001</v>
      </c>
    </row>
    <row r="15" spans="2:8" ht="18">
      <c r="B15" s="142"/>
      <c r="C15" s="143"/>
      <c r="D15" s="143"/>
      <c r="E15" s="144"/>
      <c r="F15" s="144"/>
      <c r="G15" s="144"/>
      <c r="H15" s="144"/>
    </row>
    <row r="16" spans="1:8" ht="18.75" thickBot="1">
      <c r="A16" s="142" t="s">
        <v>148</v>
      </c>
      <c r="B16" s="139"/>
      <c r="C16" s="143"/>
      <c r="D16" s="143"/>
      <c r="E16" s="144"/>
      <c r="F16" s="144"/>
      <c r="G16" s="144"/>
      <c r="H16" s="144"/>
    </row>
    <row r="17" spans="1:8" ht="13.5" thickBot="1">
      <c r="A17" s="145" t="s">
        <v>0</v>
      </c>
      <c r="B17" s="146" t="s">
        <v>1</v>
      </c>
      <c r="C17" s="215" t="s">
        <v>182</v>
      </c>
      <c r="D17" s="125">
        <v>2012</v>
      </c>
      <c r="E17" s="125">
        <v>2013</v>
      </c>
      <c r="F17" s="125">
        <v>2014</v>
      </c>
      <c r="G17" s="125">
        <v>2015</v>
      </c>
      <c r="H17" s="125">
        <v>2016</v>
      </c>
    </row>
    <row r="18" spans="1:8" ht="12.75">
      <c r="A18" s="147" t="s">
        <v>5</v>
      </c>
      <c r="B18" s="148" t="s">
        <v>149</v>
      </c>
      <c r="C18" s="149">
        <v>6713</v>
      </c>
      <c r="D18" s="149">
        <v>5220</v>
      </c>
      <c r="E18" s="149">
        <v>5283</v>
      </c>
      <c r="F18" s="149">
        <f aca="true" t="shared" si="3" ref="F18:G20">+E18*1.04</f>
        <v>5494.320000000001</v>
      </c>
      <c r="G18" s="149">
        <f t="shared" si="3"/>
        <v>5714.092800000001</v>
      </c>
      <c r="H18" s="149">
        <f>+G18*1.04</f>
        <v>5942.656512000001</v>
      </c>
    </row>
    <row r="19" spans="1:8" ht="12.75">
      <c r="A19" s="130" t="s">
        <v>16</v>
      </c>
      <c r="B19" s="131" t="s">
        <v>150</v>
      </c>
      <c r="C19" s="129">
        <v>26424</v>
      </c>
      <c r="D19" s="129">
        <v>25595</v>
      </c>
      <c r="E19" s="129">
        <v>26801</v>
      </c>
      <c r="F19" s="129">
        <f t="shared" si="3"/>
        <v>27873.04</v>
      </c>
      <c r="G19" s="129">
        <f t="shared" si="3"/>
        <v>28987.961600000002</v>
      </c>
      <c r="H19" s="129">
        <f>+G19*1.04</f>
        <v>30147.480064000003</v>
      </c>
    </row>
    <row r="20" spans="1:8" ht="12.75">
      <c r="A20" s="130" t="s">
        <v>22</v>
      </c>
      <c r="B20" s="131" t="s">
        <v>151</v>
      </c>
      <c r="C20" s="129">
        <v>2828</v>
      </c>
      <c r="D20" s="129">
        <v>2450</v>
      </c>
      <c r="E20" s="129">
        <v>2712</v>
      </c>
      <c r="F20" s="129">
        <f t="shared" si="3"/>
        <v>2820.48</v>
      </c>
      <c r="G20" s="129">
        <f t="shared" si="3"/>
        <v>2933.2992</v>
      </c>
      <c r="H20" s="129">
        <f>+G20*1.04</f>
        <v>3050.631168</v>
      </c>
    </row>
    <row r="21" spans="1:8" ht="12.75">
      <c r="A21" s="130" t="s">
        <v>38</v>
      </c>
      <c r="B21" s="131" t="s">
        <v>152</v>
      </c>
      <c r="C21" s="129">
        <v>49880</v>
      </c>
      <c r="D21" s="129">
        <f>38390+4000</f>
        <v>42390</v>
      </c>
      <c r="E21" s="129">
        <f>7900-1025</f>
        <v>6875</v>
      </c>
      <c r="F21" s="129">
        <f>9000-1025</f>
        <v>7975</v>
      </c>
      <c r="G21" s="129">
        <f>10000-1025</f>
        <v>8975</v>
      </c>
      <c r="H21" s="129">
        <f>11000-1025</f>
        <v>9975</v>
      </c>
    </row>
    <row r="22" spans="1:8" ht="12.75">
      <c r="A22" s="130" t="s">
        <v>45</v>
      </c>
      <c r="B22" s="131" t="s">
        <v>153</v>
      </c>
      <c r="C22" s="129">
        <v>11034</v>
      </c>
      <c r="D22" s="129">
        <v>10047</v>
      </c>
      <c r="E22" s="129">
        <v>10282</v>
      </c>
      <c r="F22" s="129">
        <f aca="true" t="shared" si="4" ref="F22:G26">+E22*1.04</f>
        <v>10693.28</v>
      </c>
      <c r="G22" s="129">
        <f t="shared" si="4"/>
        <v>11121.0112</v>
      </c>
      <c r="H22" s="129">
        <f>+G22*1.04</f>
        <v>11565.851648000002</v>
      </c>
    </row>
    <row r="23" spans="1:8" ht="12.75">
      <c r="A23" s="130" t="s">
        <v>51</v>
      </c>
      <c r="B23" s="131" t="s">
        <v>154</v>
      </c>
      <c r="C23" s="129">
        <v>-6435</v>
      </c>
      <c r="D23" s="129">
        <v>-7313</v>
      </c>
      <c r="E23" s="129">
        <v>4000</v>
      </c>
      <c r="F23" s="129">
        <f t="shared" si="4"/>
        <v>4160</v>
      </c>
      <c r="G23" s="129">
        <f t="shared" si="4"/>
        <v>4326.400000000001</v>
      </c>
      <c r="H23" s="129">
        <f>+G23*1.04</f>
        <v>4499.456000000001</v>
      </c>
    </row>
    <row r="24" spans="1:8" ht="12.75">
      <c r="A24" s="130" t="s">
        <v>53</v>
      </c>
      <c r="B24" s="131" t="s">
        <v>155</v>
      </c>
      <c r="C24" s="129">
        <v>26050</v>
      </c>
      <c r="D24" s="129">
        <v>800</v>
      </c>
      <c r="E24" s="129">
        <v>832</v>
      </c>
      <c r="F24" s="129">
        <f t="shared" si="4"/>
        <v>865.28</v>
      </c>
      <c r="G24" s="129">
        <f t="shared" si="4"/>
        <v>899.8912</v>
      </c>
      <c r="H24" s="129">
        <f>+G24*1.04</f>
        <v>935.8868480000001</v>
      </c>
    </row>
    <row r="25" spans="1:8" ht="12.75">
      <c r="A25" s="130" t="s">
        <v>55</v>
      </c>
      <c r="B25" s="131" t="s">
        <v>143</v>
      </c>
      <c r="C25" s="129">
        <v>900</v>
      </c>
      <c r="D25" s="129">
        <v>1100</v>
      </c>
      <c r="E25" s="129">
        <v>1144</v>
      </c>
      <c r="F25" s="129">
        <f t="shared" si="4"/>
        <v>1189.76</v>
      </c>
      <c r="G25" s="129">
        <f t="shared" si="4"/>
        <v>1237.3504</v>
      </c>
      <c r="H25" s="129">
        <f>+G25*1.04</f>
        <v>1286.8444160000001</v>
      </c>
    </row>
    <row r="26" spans="1:8" ht="13.5" thickBot="1">
      <c r="A26" s="133" t="s">
        <v>61</v>
      </c>
      <c r="B26" s="134" t="s">
        <v>146</v>
      </c>
      <c r="C26" s="129">
        <v>608</v>
      </c>
      <c r="D26" s="129">
        <v>610</v>
      </c>
      <c r="E26" s="129">
        <v>620</v>
      </c>
      <c r="F26" s="129">
        <f t="shared" si="4"/>
        <v>644.8000000000001</v>
      </c>
      <c r="G26" s="129">
        <f t="shared" si="4"/>
        <v>670.5920000000001</v>
      </c>
      <c r="H26" s="129">
        <f>+G26*1.04</f>
        <v>697.4156800000002</v>
      </c>
    </row>
    <row r="27" spans="1:8" ht="13.5" thickBot="1">
      <c r="A27" s="137"/>
      <c r="B27" s="150" t="s">
        <v>123</v>
      </c>
      <c r="C27" s="138">
        <f aca="true" t="shared" si="5" ref="C27:H27">SUM(C18:C26)</f>
        <v>118002</v>
      </c>
      <c r="D27" s="138">
        <f t="shared" si="5"/>
        <v>80899</v>
      </c>
      <c r="E27" s="138">
        <f t="shared" si="5"/>
        <v>58549</v>
      </c>
      <c r="F27" s="138">
        <f t="shared" si="5"/>
        <v>61715.96000000001</v>
      </c>
      <c r="G27" s="138">
        <f t="shared" si="5"/>
        <v>64865.5984</v>
      </c>
      <c r="H27" s="138">
        <f t="shared" si="5"/>
        <v>68101.22233600002</v>
      </c>
    </row>
    <row r="28" spans="1:8" ht="13.5" thickBot="1">
      <c r="A28" s="151"/>
      <c r="B28" s="152" t="s">
        <v>147</v>
      </c>
      <c r="C28" s="153">
        <f>+C27-608</f>
        <v>117394</v>
      </c>
      <c r="D28" s="153">
        <f>+D27-610</f>
        <v>80289</v>
      </c>
      <c r="E28" s="153">
        <f>+E27</f>
        <v>58549</v>
      </c>
      <c r="F28" s="153">
        <f>+F27</f>
        <v>61715.96000000001</v>
      </c>
      <c r="G28" s="153">
        <f>+G27</f>
        <v>64865.5984</v>
      </c>
      <c r="H28" s="153">
        <f>+H27</f>
        <v>68101.22233600002</v>
      </c>
    </row>
    <row r="30" ht="12.75">
      <c r="B30" s="154"/>
    </row>
    <row r="52" spans="2:6" ht="18">
      <c r="B52" s="218" t="s">
        <v>156</v>
      </c>
      <c r="C52" s="218"/>
      <c r="D52" s="218"/>
      <c r="E52" s="218"/>
      <c r="F52" s="218"/>
    </row>
    <row r="53" ht="18.75" thickBot="1">
      <c r="B53" s="155"/>
    </row>
    <row r="54" spans="2:8" ht="13.5" thickBot="1">
      <c r="B54" s="156" t="s">
        <v>157</v>
      </c>
      <c r="C54" s="214" t="s">
        <v>182</v>
      </c>
      <c r="D54" s="124">
        <v>2012</v>
      </c>
      <c r="E54" s="124">
        <v>2013</v>
      </c>
      <c r="F54" s="124">
        <v>2014</v>
      </c>
      <c r="G54" s="124">
        <v>2015</v>
      </c>
      <c r="H54" s="124">
        <v>2016</v>
      </c>
    </row>
    <row r="55" spans="2:8" ht="13.5" thickBot="1">
      <c r="B55" s="154"/>
      <c r="C55" s="157"/>
      <c r="D55" s="157"/>
      <c r="E55" s="157"/>
      <c r="F55" s="157"/>
      <c r="G55" s="157"/>
      <c r="H55" s="157"/>
    </row>
    <row r="56" spans="2:8" ht="12.75">
      <c r="B56" s="147" t="s">
        <v>158</v>
      </c>
      <c r="C56" s="159">
        <f aca="true" t="shared" si="6" ref="C56:H56">+C14</f>
        <v>95009</v>
      </c>
      <c r="D56" s="158">
        <f t="shared" si="6"/>
        <v>63894</v>
      </c>
      <c r="E56" s="158">
        <f t="shared" si="6"/>
        <v>64444</v>
      </c>
      <c r="F56" s="158">
        <f t="shared" si="6"/>
        <v>67666.2</v>
      </c>
      <c r="G56" s="158">
        <f t="shared" si="6"/>
        <v>71049.51000000001</v>
      </c>
      <c r="H56" s="158">
        <f t="shared" si="6"/>
        <v>74601.98550000001</v>
      </c>
    </row>
    <row r="57" spans="2:8" ht="13.5" thickBot="1">
      <c r="B57" s="160" t="s">
        <v>159</v>
      </c>
      <c r="C57" s="161">
        <f aca="true" t="shared" si="7" ref="C57:H57">+C28</f>
        <v>117394</v>
      </c>
      <c r="D57" s="162">
        <f t="shared" si="7"/>
        <v>80289</v>
      </c>
      <c r="E57" s="162">
        <f t="shared" si="7"/>
        <v>58549</v>
      </c>
      <c r="F57" s="162">
        <f t="shared" si="7"/>
        <v>61715.96000000001</v>
      </c>
      <c r="G57" s="162">
        <f t="shared" si="7"/>
        <v>64865.5984</v>
      </c>
      <c r="H57" s="162">
        <f t="shared" si="7"/>
        <v>68101.22233600002</v>
      </c>
    </row>
    <row r="58" spans="2:8" ht="13.5" thickBot="1">
      <c r="B58" s="137" t="s">
        <v>160</v>
      </c>
      <c r="C58" s="163">
        <f aca="true" t="shared" si="8" ref="C58:H58">+C56-C57</f>
        <v>-22385</v>
      </c>
      <c r="D58" s="163">
        <f t="shared" si="8"/>
        <v>-16395</v>
      </c>
      <c r="E58" s="163">
        <f t="shared" si="8"/>
        <v>5895</v>
      </c>
      <c r="F58" s="163">
        <f t="shared" si="8"/>
        <v>5950.239999999991</v>
      </c>
      <c r="G58" s="163">
        <f t="shared" si="8"/>
        <v>6183.911600000007</v>
      </c>
      <c r="H58" s="163">
        <f t="shared" si="8"/>
        <v>6500.763163999989</v>
      </c>
    </row>
    <row r="59" spans="2:8" ht="13.5" thickBot="1">
      <c r="B59" s="154"/>
      <c r="C59" s="164"/>
      <c r="D59" s="164"/>
      <c r="E59" s="164"/>
      <c r="F59" s="164"/>
      <c r="G59" s="164"/>
      <c r="H59" s="164"/>
    </row>
    <row r="60" spans="2:8" ht="12.75">
      <c r="B60" s="165" t="s">
        <v>161</v>
      </c>
      <c r="C60" s="167">
        <f>25000+3000+2900</f>
        <v>30900</v>
      </c>
      <c r="D60" s="168">
        <v>25000</v>
      </c>
      <c r="E60" s="166"/>
      <c r="F60" s="166"/>
      <c r="G60" s="166"/>
      <c r="H60" s="166"/>
    </row>
    <row r="61" spans="2:8" ht="12.75">
      <c r="B61" s="169" t="s">
        <v>122</v>
      </c>
      <c r="C61" s="171">
        <f>-214-608-1400-3000-3293</f>
        <v>-8515</v>
      </c>
      <c r="D61" s="170">
        <f>-224-606-1875-3000-2873</f>
        <v>-8578</v>
      </c>
      <c r="E61" s="170">
        <f>-234-2500-3125</f>
        <v>-5859</v>
      </c>
      <c r="F61" s="170">
        <f>-245-2500-3125</f>
        <v>-5870</v>
      </c>
      <c r="G61" s="170">
        <f>-257-2500-3125</f>
        <v>-5882</v>
      </c>
      <c r="H61" s="170">
        <f>-268-2500-3125</f>
        <v>-5893</v>
      </c>
    </row>
    <row r="62" spans="2:8" ht="13.5" thickBot="1">
      <c r="B62" s="172" t="s">
        <v>162</v>
      </c>
      <c r="C62" s="174"/>
      <c r="D62" s="173">
        <v>-27</v>
      </c>
      <c r="E62" s="173">
        <v>-36</v>
      </c>
      <c r="F62" s="173">
        <v>-80</v>
      </c>
      <c r="G62" s="173">
        <v>-302</v>
      </c>
      <c r="H62" s="173">
        <v>-608</v>
      </c>
    </row>
    <row r="63" spans="2:8" ht="13.5" thickBot="1">
      <c r="B63" s="137" t="s">
        <v>163</v>
      </c>
      <c r="C63" s="175">
        <f aca="true" t="shared" si="9" ref="C63:H63">SUM(C60:C62)</f>
        <v>22385</v>
      </c>
      <c r="D63" s="175">
        <f t="shared" si="9"/>
        <v>16395</v>
      </c>
      <c r="E63" s="175">
        <f t="shared" si="9"/>
        <v>-5895</v>
      </c>
      <c r="F63" s="175">
        <f t="shared" si="9"/>
        <v>-5950</v>
      </c>
      <c r="G63" s="175">
        <f t="shared" si="9"/>
        <v>-6184</v>
      </c>
      <c r="H63" s="175">
        <f t="shared" si="9"/>
        <v>-6501</v>
      </c>
    </row>
    <row r="64" spans="2:8" ht="13.5" thickBot="1">
      <c r="B64" s="176"/>
      <c r="C64" s="176"/>
      <c r="D64" s="176"/>
      <c r="E64" s="176"/>
      <c r="F64" s="176"/>
      <c r="G64" s="176"/>
      <c r="H64" s="176"/>
    </row>
    <row r="65" spans="2:8" ht="13.5" thickBot="1">
      <c r="B65" s="156" t="s">
        <v>164</v>
      </c>
      <c r="C65" s="163">
        <v>3976</v>
      </c>
      <c r="D65" s="163">
        <f>C65-D62</f>
        <v>4003</v>
      </c>
      <c r="E65" s="163">
        <f>D65-E62</f>
        <v>4039</v>
      </c>
      <c r="F65" s="163">
        <f>E65-F62</f>
        <v>4119</v>
      </c>
      <c r="G65" s="163">
        <f>F65-G62</f>
        <v>4421</v>
      </c>
      <c r="H65" s="163">
        <f>G65-H62</f>
        <v>5029</v>
      </c>
    </row>
    <row r="66" spans="2:8" ht="13.5" thickBot="1">
      <c r="B66" s="176"/>
      <c r="C66" s="176"/>
      <c r="D66" s="176"/>
      <c r="E66" s="176"/>
      <c r="F66" s="176"/>
      <c r="G66" s="176"/>
      <c r="H66" s="176"/>
    </row>
    <row r="67" spans="2:8" ht="13.5" thickBot="1">
      <c r="B67" s="156" t="s">
        <v>165</v>
      </c>
      <c r="C67" s="177">
        <f>(+C61-860)/C56</f>
        <v>-0.0986748623814586</v>
      </c>
      <c r="D67" s="177">
        <f>(+D61-950)/D56</f>
        <v>-0.14912198328481546</v>
      </c>
      <c r="E67" s="177">
        <f>(+E61-950)/E56</f>
        <v>-0.10565762522500155</v>
      </c>
      <c r="F67" s="177">
        <f>(+F61-950)/F56</f>
        <v>-0.10078887243557345</v>
      </c>
      <c r="G67" s="177">
        <f>(+G61-900)/G56</f>
        <v>-0.09545456400754909</v>
      </c>
      <c r="H67" s="177">
        <f>(+H61-900)/H56</f>
        <v>-0.09105655773732724</v>
      </c>
    </row>
    <row r="68" spans="3:8" ht="13.5" thickBot="1">
      <c r="C68" s="121" t="s">
        <v>166</v>
      </c>
      <c r="D68" s="121" t="s">
        <v>166</v>
      </c>
      <c r="E68" s="121" t="s">
        <v>166</v>
      </c>
      <c r="F68" s="121" t="s">
        <v>166</v>
      </c>
      <c r="G68" s="121" t="s">
        <v>166</v>
      </c>
      <c r="H68" s="121" t="s">
        <v>166</v>
      </c>
    </row>
    <row r="69" spans="2:8" ht="13.5" thickBot="1">
      <c r="B69" s="178" t="s">
        <v>167</v>
      </c>
      <c r="C69" s="179">
        <v>34745</v>
      </c>
      <c r="D69" s="179">
        <f>+C69+D60+D61</f>
        <v>51167</v>
      </c>
      <c r="E69" s="179">
        <f>+D69+E60+E61</f>
        <v>45308</v>
      </c>
      <c r="F69" s="179">
        <f>+E69+F60+F61</f>
        <v>39438</v>
      </c>
      <c r="G69" s="179">
        <f>+F69+G60+G61</f>
        <v>33556</v>
      </c>
      <c r="H69" s="179">
        <f>+G69+H60+H61</f>
        <v>27663</v>
      </c>
    </row>
    <row r="70" ht="12.75">
      <c r="B70" s="121" t="s">
        <v>168</v>
      </c>
    </row>
    <row r="74" ht="15.75">
      <c r="B74" s="180" t="s">
        <v>169</v>
      </c>
    </row>
    <row r="75" spans="2:8" ht="13.5" thickBot="1">
      <c r="B75" s="143" t="s">
        <v>170</v>
      </c>
      <c r="C75" s="181">
        <v>2011</v>
      </c>
      <c r="D75" s="181">
        <v>2012</v>
      </c>
      <c r="E75" s="181">
        <v>2013</v>
      </c>
      <c r="F75" s="181">
        <v>2014</v>
      </c>
      <c r="G75" s="181">
        <v>2015</v>
      </c>
      <c r="H75" s="181">
        <v>2016</v>
      </c>
    </row>
    <row r="76" spans="2:8" ht="12.75">
      <c r="B76" s="165" t="s">
        <v>171</v>
      </c>
      <c r="C76" s="182">
        <f aca="true" t="shared" si="10" ref="C76:H76">SUM(C5:C6)</f>
        <v>39345</v>
      </c>
      <c r="D76" s="182">
        <f t="shared" si="10"/>
        <v>38935</v>
      </c>
      <c r="E76" s="183">
        <f t="shared" si="10"/>
        <v>42931</v>
      </c>
      <c r="F76" s="184">
        <f t="shared" si="10"/>
        <v>45077.55</v>
      </c>
      <c r="G76" s="184">
        <f t="shared" si="10"/>
        <v>47331.4275</v>
      </c>
      <c r="H76" s="184">
        <f t="shared" si="10"/>
        <v>49697.998875000005</v>
      </c>
    </row>
    <row r="77" spans="2:8" ht="12.75">
      <c r="B77" s="109" t="s">
        <v>172</v>
      </c>
      <c r="C77" s="185">
        <f aca="true" t="shared" si="11" ref="C77:H77">+C13-C76-C78-C79</f>
        <v>5715</v>
      </c>
      <c r="D77" s="185">
        <f t="shared" si="11"/>
        <v>5610</v>
      </c>
      <c r="E77" s="186">
        <f t="shared" si="11"/>
        <v>6227</v>
      </c>
      <c r="F77" s="132">
        <f t="shared" si="11"/>
        <v>6538.349999999993</v>
      </c>
      <c r="G77" s="132">
        <f t="shared" si="11"/>
        <v>6865.267500000009</v>
      </c>
      <c r="H77" s="132">
        <f t="shared" si="11"/>
        <v>7208.530875</v>
      </c>
    </row>
    <row r="78" spans="2:8" ht="12.75">
      <c r="B78" s="109" t="s">
        <v>173</v>
      </c>
      <c r="C78" s="185">
        <f aca="true" t="shared" si="12" ref="C78:H78">+C7</f>
        <v>2367</v>
      </c>
      <c r="D78" s="185">
        <f t="shared" si="12"/>
        <v>6488</v>
      </c>
      <c r="E78" s="186">
        <f t="shared" si="12"/>
        <v>500</v>
      </c>
      <c r="F78" s="132">
        <f t="shared" si="12"/>
        <v>525</v>
      </c>
      <c r="G78" s="132">
        <f t="shared" si="12"/>
        <v>551.25</v>
      </c>
      <c r="H78" s="132">
        <f t="shared" si="12"/>
        <v>578.8125</v>
      </c>
    </row>
    <row r="79" spans="2:8" ht="13.5" thickBot="1">
      <c r="B79" s="187" t="s">
        <v>174</v>
      </c>
      <c r="C79" s="188">
        <f aca="true" t="shared" si="13" ref="C79:H79">+C4</f>
        <v>48190</v>
      </c>
      <c r="D79" s="188">
        <f t="shared" si="13"/>
        <v>13471</v>
      </c>
      <c r="E79" s="189">
        <f t="shared" si="13"/>
        <v>14786</v>
      </c>
      <c r="F79" s="190">
        <f t="shared" si="13"/>
        <v>15525.300000000001</v>
      </c>
      <c r="G79" s="190">
        <f t="shared" si="13"/>
        <v>16301.565000000002</v>
      </c>
      <c r="H79" s="190">
        <f t="shared" si="13"/>
        <v>17116.643250000005</v>
      </c>
    </row>
    <row r="80" spans="2:8" ht="12.75">
      <c r="B80" s="191" t="s">
        <v>158</v>
      </c>
      <c r="C80" s="192">
        <f aca="true" t="shared" si="14" ref="C80:H80">SUM(C76:C79)</f>
        <v>95617</v>
      </c>
      <c r="D80" s="192">
        <f t="shared" si="14"/>
        <v>64504</v>
      </c>
      <c r="E80" s="193">
        <f t="shared" si="14"/>
        <v>64444</v>
      </c>
      <c r="F80" s="194">
        <f t="shared" si="14"/>
        <v>67666.2</v>
      </c>
      <c r="G80" s="194">
        <f t="shared" si="14"/>
        <v>71049.51000000001</v>
      </c>
      <c r="H80" s="194">
        <f t="shared" si="14"/>
        <v>74601.98550000001</v>
      </c>
    </row>
    <row r="81" spans="2:8" ht="13.5" thickBot="1">
      <c r="B81" s="195" t="s">
        <v>175</v>
      </c>
      <c r="C81" s="196">
        <f aca="true" t="shared" si="15" ref="C81:H81">+C80</f>
        <v>95617</v>
      </c>
      <c r="D81" s="196">
        <f t="shared" si="15"/>
        <v>64504</v>
      </c>
      <c r="E81" s="197">
        <f t="shared" si="15"/>
        <v>64444</v>
      </c>
      <c r="F81" s="198">
        <f t="shared" si="15"/>
        <v>67666.2</v>
      </c>
      <c r="G81" s="198">
        <f t="shared" si="15"/>
        <v>71049.51000000001</v>
      </c>
      <c r="H81" s="198">
        <f t="shared" si="15"/>
        <v>74601.98550000001</v>
      </c>
    </row>
    <row r="82" spans="3:8" ht="13.5" thickBot="1">
      <c r="C82" s="199"/>
      <c r="D82" s="199"/>
      <c r="E82" s="199"/>
      <c r="F82" s="199"/>
      <c r="G82" s="199"/>
      <c r="H82" s="199"/>
    </row>
    <row r="83" spans="2:8" ht="12.75">
      <c r="B83" s="165" t="s">
        <v>176</v>
      </c>
      <c r="C83" s="182">
        <f aca="true" t="shared" si="16" ref="C83:H83">+C27-C21</f>
        <v>68122</v>
      </c>
      <c r="D83" s="182">
        <f t="shared" si="16"/>
        <v>38509</v>
      </c>
      <c r="E83" s="183">
        <f t="shared" si="16"/>
        <v>51674</v>
      </c>
      <c r="F83" s="182">
        <f t="shared" si="16"/>
        <v>53740.96000000001</v>
      </c>
      <c r="G83" s="182">
        <f t="shared" si="16"/>
        <v>55890.5984</v>
      </c>
      <c r="H83" s="182">
        <f t="shared" si="16"/>
        <v>58126.22233600002</v>
      </c>
    </row>
    <row r="84" spans="2:8" ht="13.5" thickBot="1">
      <c r="B84" s="187" t="s">
        <v>177</v>
      </c>
      <c r="C84" s="200">
        <f aca="true" t="shared" si="17" ref="C84:H84">+C21</f>
        <v>49880</v>
      </c>
      <c r="D84" s="200">
        <f t="shared" si="17"/>
        <v>42390</v>
      </c>
      <c r="E84" s="201">
        <f t="shared" si="17"/>
        <v>6875</v>
      </c>
      <c r="F84" s="135">
        <f t="shared" si="17"/>
        <v>7975</v>
      </c>
      <c r="G84" s="135">
        <f t="shared" si="17"/>
        <v>8975</v>
      </c>
      <c r="H84" s="135">
        <f t="shared" si="17"/>
        <v>9975</v>
      </c>
    </row>
    <row r="85" spans="2:8" ht="12.75">
      <c r="B85" s="202" t="s">
        <v>159</v>
      </c>
      <c r="C85" s="203">
        <f aca="true" t="shared" si="18" ref="C85:H85">SUM(C83:C84)</f>
        <v>118002</v>
      </c>
      <c r="D85" s="203">
        <f t="shared" si="18"/>
        <v>80899</v>
      </c>
      <c r="E85" s="204">
        <f t="shared" si="18"/>
        <v>58549</v>
      </c>
      <c r="F85" s="205">
        <f t="shared" si="18"/>
        <v>61715.96000000001</v>
      </c>
      <c r="G85" s="205">
        <f t="shared" si="18"/>
        <v>64865.5984</v>
      </c>
      <c r="H85" s="205">
        <f t="shared" si="18"/>
        <v>68101.22233600002</v>
      </c>
    </row>
    <row r="86" spans="2:8" ht="13.5" thickBot="1">
      <c r="B86" s="195" t="s">
        <v>178</v>
      </c>
      <c r="C86" s="196">
        <f aca="true" t="shared" si="19" ref="C86:H86">+C85</f>
        <v>118002</v>
      </c>
      <c r="D86" s="196">
        <f t="shared" si="19"/>
        <v>80899</v>
      </c>
      <c r="E86" s="197">
        <f t="shared" si="19"/>
        <v>58549</v>
      </c>
      <c r="F86" s="198">
        <f t="shared" si="19"/>
        <v>61715.96000000001</v>
      </c>
      <c r="G86" s="198">
        <f t="shared" si="19"/>
        <v>64865.5984</v>
      </c>
      <c r="H86" s="198">
        <f t="shared" si="19"/>
        <v>68101.22233600002</v>
      </c>
    </row>
    <row r="87" spans="3:8" ht="13.5" thickBot="1">
      <c r="C87" s="199"/>
      <c r="D87" s="199"/>
      <c r="E87" s="199"/>
      <c r="F87" s="199"/>
      <c r="G87" s="199"/>
      <c r="H87" s="199"/>
    </row>
    <row r="88" spans="2:8" ht="13.5" thickBot="1">
      <c r="B88" s="206" t="s">
        <v>179</v>
      </c>
      <c r="C88" s="207">
        <f>+C81-C86</f>
        <v>-22385</v>
      </c>
      <c r="D88" s="207">
        <f>+D81-D86</f>
        <v>-16395</v>
      </c>
      <c r="E88" s="208">
        <f>+E81-E86-1</f>
        <v>5894</v>
      </c>
      <c r="F88" s="209">
        <f>+F81-F86-1</f>
        <v>5949.239999999991</v>
      </c>
      <c r="G88" s="209">
        <f>+G81-G86-1</f>
        <v>6182.911600000007</v>
      </c>
      <c r="H88" s="209">
        <f>+H81-H86-1</f>
        <v>6499.763163999989</v>
      </c>
    </row>
    <row r="89" spans="2:8" ht="12.75">
      <c r="B89" s="210"/>
      <c r="C89" s="211"/>
      <c r="D89" s="211"/>
      <c r="E89" s="211"/>
      <c r="F89" s="211"/>
      <c r="G89" s="211"/>
      <c r="H89" s="211"/>
    </row>
    <row r="90" spans="2:8" ht="12.75">
      <c r="B90" s="143" t="s">
        <v>180</v>
      </c>
      <c r="C90" s="212">
        <f aca="true" t="shared" si="20" ref="C90:H90">+C83/C85</f>
        <v>0.5772953000796597</v>
      </c>
      <c r="D90" s="212">
        <f t="shared" si="20"/>
        <v>0.4760133005352353</v>
      </c>
      <c r="E90" s="212">
        <f t="shared" si="20"/>
        <v>0.8825769867973834</v>
      </c>
      <c r="F90" s="212">
        <f t="shared" si="20"/>
        <v>0.870778968681683</v>
      </c>
      <c r="G90" s="212">
        <f t="shared" si="20"/>
        <v>0.8616369813679233</v>
      </c>
      <c r="H90" s="212">
        <f t="shared" si="20"/>
        <v>0.8535268581408859</v>
      </c>
    </row>
    <row r="91" spans="2:8" ht="12.75">
      <c r="B91" s="143" t="s">
        <v>181</v>
      </c>
      <c r="C91" s="212">
        <f aca="true" t="shared" si="21" ref="C91:H91">+C84/C85</f>
        <v>0.4227046999203403</v>
      </c>
      <c r="D91" s="212">
        <f t="shared" si="21"/>
        <v>0.5239866994647647</v>
      </c>
      <c r="E91" s="212">
        <f t="shared" si="21"/>
        <v>0.11742301320261661</v>
      </c>
      <c r="F91" s="212">
        <f t="shared" si="21"/>
        <v>0.129221031318317</v>
      </c>
      <c r="G91" s="212">
        <f t="shared" si="21"/>
        <v>0.13836301863207662</v>
      </c>
      <c r="H91" s="212">
        <f t="shared" si="21"/>
        <v>0.1464731418591141</v>
      </c>
    </row>
    <row r="92" spans="3:5" ht="12.75">
      <c r="C92" s="213"/>
      <c r="D92" s="213"/>
      <c r="E92" s="213"/>
    </row>
  </sheetData>
  <mergeCells count="1">
    <mergeCell ref="B52:F52"/>
  </mergeCells>
  <printOptions/>
  <pageMargins left="0.58" right="0.46" top="1" bottom="0.89" header="0.4921259845" footer="0.4921259845"/>
  <pageSetup horizontalDpi="600" verticalDpi="600" orientation="portrait" paperSize="9" scale="105" r:id="rId2"/>
  <headerFooter alignWithMargins="0">
    <oddHeader>&amp;C&amp;"Arial CE,Tučná kurzíva"&amp;14Rozpočtový výhled 2013-16 - schválený ZM 30.1.2012
</oddHeader>
    <oddFooter>&amp;Lvyvěšeno: 
svěšeno:&amp;Rsestavil Ing.Hodek</oddFooter>
  </headerFooter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Blovice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hodekm</dc:creator>
  <cp:keywords/>
  <dc:description/>
  <cp:lastModifiedBy>WarezBos</cp:lastModifiedBy>
  <cp:lastPrinted>2012-02-01T15:41:41Z</cp:lastPrinted>
  <dcterms:created xsi:type="dcterms:W3CDTF">2012-01-09T10:21:42Z</dcterms:created>
  <dcterms:modified xsi:type="dcterms:W3CDTF">2012-02-04T16:01:32Z</dcterms:modified>
  <cp:category/>
  <cp:version/>
  <cp:contentType/>
  <cp:contentStatus/>
</cp:coreProperties>
</file>