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4130" windowHeight="6315" activeTab="0"/>
  </bookViews>
  <sheets>
    <sheet name="Příjmy_Výdaje upravené " sheetId="1" r:id="rId1"/>
  </sheets>
  <definedNames>
    <definedName name="_xlnm.Print_Area" localSheetId="0">'Příjmy_Výdaje upravené '!$A$1:$P$130</definedName>
  </definedNames>
  <calcPr fullCalcOnLoad="1"/>
</workbook>
</file>

<file path=xl/comments1.xml><?xml version="1.0" encoding="utf-8"?>
<comments xmlns="http://schemas.openxmlformats.org/spreadsheetml/2006/main">
  <authors>
    <author>HodekM</author>
  </authors>
  <commentList>
    <comment ref="D82" authorId="0">
      <text>
        <r>
          <rPr>
            <b/>
            <sz val="8"/>
            <rFont val="Tahoma"/>
            <family val="0"/>
          </rPr>
          <t>HodekM:</t>
        </r>
        <r>
          <rPr>
            <sz val="8"/>
            <rFont val="Tahoma"/>
            <family val="0"/>
          </rPr>
          <t xml:space="preserve">
öööoooíooíoíoíoíooíoííoíoíoíoíoíoíoíoíoíoíoíoíoíoííoíoíoíoíoíooíh</t>
        </r>
      </text>
    </comment>
  </commentList>
</comments>
</file>

<file path=xl/sharedStrings.xml><?xml version="1.0" encoding="utf-8"?>
<sst xmlns="http://schemas.openxmlformats.org/spreadsheetml/2006/main" count="252" uniqueCount="166">
  <si>
    <t xml:space="preserve">Příjmy - tis.Kč </t>
  </si>
  <si>
    <t>kap</t>
  </si>
  <si>
    <t>titul</t>
  </si>
  <si>
    <t>č.</t>
  </si>
  <si>
    <t>podtitul</t>
  </si>
  <si>
    <t>celkem</t>
  </si>
  <si>
    <t>I.</t>
  </si>
  <si>
    <t>DOTACE</t>
  </si>
  <si>
    <t>výkon st.správy</t>
  </si>
  <si>
    <t>školství (KúPK+obce)</t>
  </si>
  <si>
    <t>soc. dávky</t>
  </si>
  <si>
    <t>vzdělávání eGON (OPLZZ)</t>
  </si>
  <si>
    <t>knihovna - PK</t>
  </si>
  <si>
    <t>dotace z UP na mzdy</t>
  </si>
  <si>
    <t>státní správa lesů</t>
  </si>
  <si>
    <t>vzdělávací program ZŠ (EU)</t>
  </si>
  <si>
    <t xml:space="preserve">ostatní </t>
  </si>
  <si>
    <t>II.</t>
  </si>
  <si>
    <t>DANĚ</t>
  </si>
  <si>
    <t>z nemovitosti</t>
  </si>
  <si>
    <t>sdílené daně</t>
  </si>
  <si>
    <t>daň z P za město</t>
  </si>
  <si>
    <t>Celkem</t>
  </si>
  <si>
    <t>III.</t>
  </si>
  <si>
    <t>Popl.správní</t>
  </si>
  <si>
    <t xml:space="preserve">evidence dopravy </t>
  </si>
  <si>
    <t>evidence obyvatel</t>
  </si>
  <si>
    <t>živnostenské</t>
  </si>
  <si>
    <t>stavební</t>
  </si>
  <si>
    <t>ostatní správní popl.</t>
  </si>
  <si>
    <t xml:space="preserve">VHP </t>
  </si>
  <si>
    <t>VHP</t>
  </si>
  <si>
    <t>Popl.místní</t>
  </si>
  <si>
    <t>ze psů</t>
  </si>
  <si>
    <t>z veřejného pr.</t>
  </si>
  <si>
    <t>vstupné, ubyt.kapacita, ost.</t>
  </si>
  <si>
    <t>likv.odpadu (občané)</t>
  </si>
  <si>
    <t>ostatní poplatky</t>
  </si>
  <si>
    <t>autoškola, ryb.lístky….</t>
  </si>
  <si>
    <t>IV.</t>
  </si>
  <si>
    <t>KAP.PŘÍJMY</t>
  </si>
  <si>
    <t>prodeje pozemků</t>
  </si>
  <si>
    <t>(prodeje)</t>
  </si>
  <si>
    <t>prodeje pozemků Hradiště II</t>
  </si>
  <si>
    <t>prodeje staveb</t>
  </si>
  <si>
    <t>převod od byt.družstva Am.</t>
  </si>
  <si>
    <t>V.</t>
  </si>
  <si>
    <t>NÁJMY</t>
  </si>
  <si>
    <t>nebyt. prostory (KB)</t>
  </si>
  <si>
    <t>ost.nebyt.prostory, pozemky</t>
  </si>
  <si>
    <t>kotelny (TEBYT BTZ)</t>
  </si>
  <si>
    <t>nájem vodovodů a kanal. (ČEVAK)</t>
  </si>
  <si>
    <t>VI.</t>
  </si>
  <si>
    <t>LESY</t>
  </si>
  <si>
    <t>VII.</t>
  </si>
  <si>
    <t>BYT.HOSP - převod</t>
  </si>
  <si>
    <t>VIII.</t>
  </si>
  <si>
    <t>ZVL.PŘÍJMY</t>
  </si>
  <si>
    <t>provoz městs.busu</t>
  </si>
  <si>
    <t>odpad.hospodářství</t>
  </si>
  <si>
    <t>pokuty,sankce</t>
  </si>
  <si>
    <t>ost.nahodilé příjmy</t>
  </si>
  <si>
    <t>IX.</t>
  </si>
  <si>
    <t>FONDOVÉ HOSPODAŘENÍ (SOC.FOND)</t>
  </si>
  <si>
    <t>CELKEM PŘÍJMY PŘED KONS.</t>
  </si>
  <si>
    <t>CELKEM PŘÍJMY PO KONS.</t>
  </si>
  <si>
    <t>běž.příjmy</t>
  </si>
  <si>
    <t xml:space="preserve">Výdaje - tis.Kč </t>
  </si>
  <si>
    <t>ŠKOLSTVÍ</t>
  </si>
  <si>
    <t>ZŠ provoz</t>
  </si>
  <si>
    <t>ZŠ-plavecká učebna</t>
  </si>
  <si>
    <t>ZŠ-ŠJ</t>
  </si>
  <si>
    <t>ZŠ dětské dopr.hřiště</t>
  </si>
  <si>
    <t>ZŠ dotace EU</t>
  </si>
  <si>
    <t>ZUŠ</t>
  </si>
  <si>
    <t>DDM</t>
  </si>
  <si>
    <t>MŠ</t>
  </si>
  <si>
    <t>MŠ-ŠJ</t>
  </si>
  <si>
    <t>SPRÁVA MĚÚ</t>
  </si>
  <si>
    <t>Měú Blovice</t>
  </si>
  <si>
    <t>Městská policie</t>
  </si>
  <si>
    <t>KULTURA/SPORT</t>
  </si>
  <si>
    <t>LD provoz + noviny</t>
  </si>
  <si>
    <t>knihovna</t>
  </si>
  <si>
    <t>ost.spolky+kult.akce</t>
  </si>
  <si>
    <t>ROZVOJ MĚSTA</t>
  </si>
  <si>
    <t xml:space="preserve">"Čistá Berounka" </t>
  </si>
  <si>
    <t>územní plán Blovice</t>
  </si>
  <si>
    <t>infrastruktura Hradiště II</t>
  </si>
  <si>
    <t>Husova rekonstrukce</t>
  </si>
  <si>
    <t>kanalizace Na Výsluní</t>
  </si>
  <si>
    <t>ostatní investice</t>
  </si>
  <si>
    <t>ÚDRŽBA MĚSTA</t>
  </si>
  <si>
    <t>voda, kanal., plyn</t>
  </si>
  <si>
    <t>opravy MK+dopr.zn.+havárie</t>
  </si>
  <si>
    <t xml:space="preserve">úklid, zimní údržba </t>
  </si>
  <si>
    <t>zeleň, hřbitov, WC</t>
  </si>
  <si>
    <t>odpad</t>
  </si>
  <si>
    <t>prac.četa města</t>
  </si>
  <si>
    <t>věř.osvětlení</t>
  </si>
  <si>
    <t>JSDH Blovice - provoz (JPOIII)</t>
  </si>
  <si>
    <t>oprava kolowratské kaple</t>
  </si>
  <si>
    <t>RŮZNÉ VÝDAJE</t>
  </si>
  <si>
    <t>dopr.obslužnost+BUS</t>
  </si>
  <si>
    <t>čistírna</t>
  </si>
  <si>
    <t>úroky z úvěrů</t>
  </si>
  <si>
    <t>odvod daně Fú (DPPO+DPH)</t>
  </si>
  <si>
    <t>Mikroregion - fin.spoluúčast</t>
  </si>
  <si>
    <t>nevyuž.dotace 2011</t>
  </si>
  <si>
    <t>"Čistá Berounka" provoz svazku</t>
  </si>
  <si>
    <t>SOC.VĚCI</t>
  </si>
  <si>
    <t>peč.služba</t>
  </si>
  <si>
    <t>CELKEM VÝDAJE PŘED KONS.</t>
  </si>
  <si>
    <t>CELKEM VÝDAJE PO KONS.</t>
  </si>
  <si>
    <t>běž.výdaje</t>
  </si>
  <si>
    <t>HV PO KONSOLIDACI</t>
  </si>
  <si>
    <t>provoz.saldo</t>
  </si>
  <si>
    <t>Financování</t>
  </si>
  <si>
    <t>saldo/příjmy</t>
  </si>
  <si>
    <t>Splátky úvěrů</t>
  </si>
  <si>
    <t>CELKEM</t>
  </si>
  <si>
    <t>Změna stavu krátk.prostředků</t>
  </si>
  <si>
    <t>Poč.stav prostř.na účtech rozp.hosp.</t>
  </si>
  <si>
    <t>tis.Kč</t>
  </si>
  <si>
    <t>Rozpuštění prostředků rozp.hosp.</t>
  </si>
  <si>
    <t>Kon.stav prostř.na účtech rozp.hosp.</t>
  </si>
  <si>
    <t>Poč.stav prostř.na fondech</t>
  </si>
  <si>
    <t>Rozpuštění prostředků fondů</t>
  </si>
  <si>
    <t xml:space="preserve">Kon.stav prostř.na fondech </t>
  </si>
  <si>
    <t>kropící vůz</t>
  </si>
  <si>
    <t>chodník Hradiště</t>
  </si>
  <si>
    <t>proj.dokumentace výtah DPS</t>
  </si>
  <si>
    <t>oslava SDH</t>
  </si>
  <si>
    <t>rozpočet 2012</t>
  </si>
  <si>
    <t>koncesní řízení - provozovatel VaK</t>
  </si>
  <si>
    <t>pojistné města</t>
  </si>
  <si>
    <t>bankovní poplatky</t>
  </si>
  <si>
    <t>drobné opravy, služby</t>
  </si>
  <si>
    <t>Přijaté úvěry (ČB+BUS)</t>
  </si>
  <si>
    <t>nákup minibusu</t>
  </si>
  <si>
    <t>nákup auta lesy</t>
  </si>
  <si>
    <t>zateplení sálu LD - projekt</t>
  </si>
  <si>
    <t>I.úprava</t>
  </si>
  <si>
    <t>funkční vodovod (SZIF)</t>
  </si>
  <si>
    <t xml:space="preserve">funkční vodovod </t>
  </si>
  <si>
    <t>projekty vodovody</t>
  </si>
  <si>
    <t>optický kabel MěÚ (PK)</t>
  </si>
  <si>
    <t>oprava MK Dubí</t>
  </si>
  <si>
    <t>uplat.DPH</t>
  </si>
  <si>
    <t xml:space="preserve">optický kabel MěÚ </t>
  </si>
  <si>
    <t>střecha MěÚ - čp.143</t>
  </si>
  <si>
    <t>střecha MěÚ - čp.143 (PK)</t>
  </si>
  <si>
    <t>II.úprava</t>
  </si>
  <si>
    <t>III.úprava</t>
  </si>
  <si>
    <t>státní správa lesů neinv.</t>
  </si>
  <si>
    <t>prodeje ost.majetku</t>
  </si>
  <si>
    <t>rozšíření kapacity MŠ</t>
  </si>
  <si>
    <t>¨¨¨¨¨¨¨¨¨¨¨¨¨¨¨¨¨¨¨¨¨¨¨¨¨¨¨¨¨¨¨¨¨¨¨¨¨¨¨¨¨¨¨¨¨¨¨¨¨¨¨¨¨¨¨¨¨¨¨¨¨¨¨¨</t>
  </si>
  <si>
    <t>IV.úprava</t>
  </si>
  <si>
    <t>lesní hosp.osnovy</t>
  </si>
  <si>
    <t>koupací biotop</t>
  </si>
  <si>
    <t>prodej dlažeb.kostek</t>
  </si>
  <si>
    <t xml:space="preserve">Sokol </t>
  </si>
  <si>
    <t>*</t>
  </si>
  <si>
    <t>V.úprava</t>
  </si>
  <si>
    <t>oprava střechy MěÚ čp.143</t>
  </si>
</sst>
</file>

<file path=xl/styles.xml><?xml version="1.0" encoding="utf-8"?>
<styleSheet xmlns="http://schemas.openxmlformats.org/spreadsheetml/2006/main">
  <numFmts count="4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%"/>
    <numFmt numFmtId="166" formatCode="0.0000000"/>
    <numFmt numFmtId="167" formatCode="&quot;Kč&quot;#,##0_);\(&quot;Kč&quot;#,##0\)"/>
    <numFmt numFmtId="168" formatCode="&quot;Kč&quot;#,##0_);[Red]\(&quot;Kč&quot;#,##0\)"/>
    <numFmt numFmtId="169" formatCode="&quot;Kč&quot;#,##0.00_);\(&quot;Kč&quot;#,##0.00\)"/>
    <numFmt numFmtId="170" formatCode="&quot;Kč&quot;#,##0.00_);[Red]\(&quot;Kč&quot;#,##0.00\)"/>
    <numFmt numFmtId="171" formatCode="_(&quot;Kč&quot;* #,##0_);_(&quot;Kč&quot;* \(#,##0\);_(&quot;Kč&quot;* &quot;-&quot;_);_(@_)"/>
    <numFmt numFmtId="172" formatCode="_(* #,##0_);_(* \(#,##0\);_(* &quot;-&quot;_);_(@_)"/>
    <numFmt numFmtId="173" formatCode="_(&quot;Kč&quot;* #,##0.00_);_(&quot;Kč&quot;* \(#,##0.00\);_(&quot;Kč&quot;* &quot;-&quot;??_);_(@_)"/>
    <numFmt numFmtId="174" formatCode="_(* #,##0.00_);_(* \(#,##0.00\);_(* &quot;-&quot;??_);_(@_)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.00\ &quot;Kč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"/>
    <numFmt numFmtId="186" formatCode="m/d/yyyy"/>
    <numFmt numFmtId="187" formatCode="0.00000"/>
    <numFmt numFmtId="188" formatCode="0.0000"/>
    <numFmt numFmtId="189" formatCode="_-* #,##0.0\ &quot;Kč&quot;_-;\-* #,##0.0\ &quot;Kč&quot;_-;_-* &quot;-&quot;??\ &quot;Kč&quot;_-;_-@_-"/>
    <numFmt numFmtId="190" formatCode="_-* #,##0\ &quot;Kč&quot;_-;\-* #,##0\ &quot;Kč&quot;_-;_-* &quot;-&quot;??\ &quot;Kč&quot;_-;_-@_-"/>
    <numFmt numFmtId="191" formatCode="#,##0.00\ [$Kč-405]"/>
    <numFmt numFmtId="192" formatCode="#,##0.000\ [$Kč-405]"/>
    <numFmt numFmtId="193" formatCode="#,##0.0\ [$Kč-405]"/>
    <numFmt numFmtId="194" formatCode="#,##0\ [$Kč-405]"/>
    <numFmt numFmtId="195" formatCode="&quot;Kč&quot;#,##0"/>
    <numFmt numFmtId="196" formatCode="[$ESP]\ #,##0.00"/>
    <numFmt numFmtId="197" formatCode="0.000%"/>
    <numFmt numFmtId="198" formatCode="0.00000000"/>
    <numFmt numFmtId="199" formatCode="0.000000"/>
    <numFmt numFmtId="200" formatCode="_-* #,##0.000\ &quot;Kč&quot;_-;\-* #,##0.000\ &quot;Kč&quot;_-;_-* &quot;-&quot;??\ &quot;Kč&quot;_-;_-@_-"/>
    <numFmt numFmtId="201" formatCode="0.00;[Red]0.00"/>
    <numFmt numFmtId="202" formatCode="yyyy"/>
    <numFmt numFmtId="203" formatCode="[$-405]d\.\ mmmm\ yyyy"/>
    <numFmt numFmtId="204" formatCode="mmm/yyyy"/>
  </numFmts>
  <fonts count="18">
    <font>
      <sz val="10"/>
      <name val="Arial"/>
      <family val="0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0"/>
    </font>
    <font>
      <b/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u val="single"/>
      <sz val="10"/>
      <color indexed="8"/>
      <name val="Arial CE"/>
      <family val="0"/>
    </font>
    <font>
      <b/>
      <u val="single"/>
      <sz val="10"/>
      <name val="Arial CE"/>
      <family val="0"/>
    </font>
    <font>
      <u val="single"/>
      <sz val="10"/>
      <color indexed="8"/>
      <name val="Arial CE"/>
      <family val="0"/>
    </font>
    <font>
      <i/>
      <sz val="10"/>
      <color indexed="8"/>
      <name val="Arial CE"/>
      <family val="0"/>
    </font>
    <font>
      <u val="single"/>
      <sz val="10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Fill="1" applyBorder="1" applyAlignment="1">
      <alignment/>
    </xf>
    <xf numFmtId="165" fontId="0" fillId="0" borderId="0" xfId="21" applyNumberFormat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1" fontId="10" fillId="0" borderId="27" xfId="0" applyNumberFormat="1" applyFont="1" applyFill="1" applyBorder="1" applyAlignment="1">
      <alignment/>
    </xf>
    <xf numFmtId="0" fontId="6" fillId="0" borderId="19" xfId="0" applyFont="1" applyFill="1" applyBorder="1" applyAlignment="1">
      <alignment/>
    </xf>
    <xf numFmtId="1" fontId="10" fillId="0" borderId="28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5" fillId="0" borderId="2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1" fontId="6" fillId="0" borderId="28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6" xfId="0" applyFont="1" applyBorder="1" applyAlignment="1">
      <alignment/>
    </xf>
    <xf numFmtId="0" fontId="6" fillId="0" borderId="30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1" fontId="6" fillId="0" borderId="31" xfId="0" applyNumberFormat="1" applyFont="1" applyFill="1" applyBorder="1" applyAlignment="1">
      <alignment/>
    </xf>
    <xf numFmtId="1" fontId="11" fillId="0" borderId="27" xfId="0" applyNumberFormat="1" applyFont="1" applyFill="1" applyBorder="1" applyAlignment="1">
      <alignment/>
    </xf>
    <xf numFmtId="1" fontId="11" fillId="0" borderId="28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1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4" xfId="0" applyFont="1" applyFill="1" applyBorder="1" applyAlignment="1">
      <alignment/>
    </xf>
    <xf numFmtId="0" fontId="0" fillId="0" borderId="27" xfId="0" applyFill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17" xfId="0" applyFill="1" applyBorder="1" applyAlignment="1">
      <alignment/>
    </xf>
    <xf numFmtId="0" fontId="2" fillId="0" borderId="11" xfId="20" applyFont="1" applyBorder="1">
      <alignment/>
      <protection/>
    </xf>
    <xf numFmtId="1" fontId="6" fillId="0" borderId="35" xfId="0" applyNumberFormat="1" applyFont="1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28" xfId="0" applyFill="1" applyBorder="1" applyAlignment="1">
      <alignment/>
    </xf>
    <xf numFmtId="0" fontId="6" fillId="0" borderId="22" xfId="0" applyFont="1" applyFill="1" applyBorder="1" applyAlignment="1">
      <alignment/>
    </xf>
    <xf numFmtId="1" fontId="2" fillId="0" borderId="37" xfId="0" applyNumberFormat="1" applyFont="1" applyFill="1" applyBorder="1" applyAlignment="1">
      <alignment/>
    </xf>
    <xf numFmtId="0" fontId="8" fillId="0" borderId="27" xfId="0" applyFont="1" applyFill="1" applyBorder="1" applyAlignment="1">
      <alignment/>
    </xf>
    <xf numFmtId="1" fontId="8" fillId="0" borderId="11" xfId="0" applyNumberFormat="1" applyFont="1" applyFill="1" applyBorder="1" applyAlignment="1">
      <alignment/>
    </xf>
    <xf numFmtId="164" fontId="8" fillId="0" borderId="17" xfId="0" applyNumberFormat="1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1" fontId="8" fillId="0" borderId="28" xfId="0" applyNumberFormat="1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38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39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1" fontId="8" fillId="0" borderId="14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1" fontId="8" fillId="0" borderId="24" xfId="0" applyNumberFormat="1" applyFont="1" applyFill="1" applyBorder="1" applyAlignment="1">
      <alignment/>
    </xf>
    <xf numFmtId="1" fontId="12" fillId="0" borderId="27" xfId="0" applyNumberFormat="1" applyFont="1" applyFill="1" applyBorder="1" applyAlignment="1">
      <alignment/>
    </xf>
    <xf numFmtId="1" fontId="12" fillId="0" borderId="28" xfId="0" applyNumberFormat="1" applyFont="1" applyFill="1" applyBorder="1" applyAlignment="1">
      <alignment/>
    </xf>
    <xf numFmtId="0" fontId="13" fillId="0" borderId="24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1" fontId="2" fillId="0" borderId="8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1" fontId="2" fillId="0" borderId="11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9" fontId="2" fillId="0" borderId="17" xfId="0" applyNumberFormat="1" applyFont="1" applyFill="1" applyBorder="1" applyAlignment="1">
      <alignment/>
    </xf>
    <xf numFmtId="0" fontId="2" fillId="0" borderId="19" xfId="0" applyFont="1" applyFill="1" applyBorder="1" applyAlignment="1">
      <alignment/>
    </xf>
    <xf numFmtId="1" fontId="2" fillId="0" borderId="28" xfId="0" applyNumberFormat="1" applyFont="1" applyFill="1" applyBorder="1" applyAlignment="1" applyProtection="1">
      <alignment/>
      <protection locked="0"/>
    </xf>
    <xf numFmtId="1" fontId="2" fillId="0" borderId="27" xfId="0" applyNumberFormat="1" applyFont="1" applyFill="1" applyBorder="1" applyAlignment="1">
      <alignment/>
    </xf>
    <xf numFmtId="1" fontId="2" fillId="0" borderId="17" xfId="0" applyNumberFormat="1" applyFont="1" applyFill="1" applyBorder="1" applyAlignment="1">
      <alignment/>
    </xf>
    <xf numFmtId="1" fontId="2" fillId="0" borderId="19" xfId="0" applyNumberFormat="1" applyFont="1" applyFill="1" applyBorder="1" applyAlignment="1">
      <alignment/>
    </xf>
    <xf numFmtId="1" fontId="2" fillId="0" borderId="28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1" fontId="2" fillId="0" borderId="39" xfId="0" applyNumberFormat="1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1" fontId="2" fillId="0" borderId="14" xfId="0" applyNumberFormat="1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1" fontId="2" fillId="0" borderId="3" xfId="0" applyNumberFormat="1" applyFont="1" applyFill="1" applyBorder="1" applyAlignment="1">
      <alignment/>
    </xf>
    <xf numFmtId="1" fontId="2" fillId="0" borderId="31" xfId="0" applyNumberFormat="1" applyFont="1" applyFill="1" applyBorder="1" applyAlignment="1">
      <alignment/>
    </xf>
    <xf numFmtId="1" fontId="14" fillId="0" borderId="27" xfId="0" applyNumberFormat="1" applyFont="1" applyFill="1" applyBorder="1" applyAlignment="1">
      <alignment/>
    </xf>
    <xf numFmtId="1" fontId="14" fillId="0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" fontId="14" fillId="0" borderId="0" xfId="0" applyNumberFormat="1" applyFont="1" applyFill="1" applyBorder="1" applyAlignment="1">
      <alignment/>
    </xf>
    <xf numFmtId="1" fontId="2" fillId="0" borderId="38" xfId="0" applyNumberFormat="1" applyFont="1" applyFill="1" applyBorder="1" applyAlignment="1">
      <alignment/>
    </xf>
    <xf numFmtId="1" fontId="2" fillId="0" borderId="35" xfId="0" applyNumberFormat="1" applyFont="1" applyFill="1" applyBorder="1" applyAlignment="1">
      <alignment/>
    </xf>
    <xf numFmtId="1" fontId="2" fillId="0" borderId="23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/>
    </xf>
    <xf numFmtId="1" fontId="2" fillId="0" borderId="20" xfId="0" applyNumberFormat="1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0" fillId="0" borderId="0" xfId="0" applyFont="1" applyAlignment="1">
      <alignment/>
    </xf>
    <xf numFmtId="0" fontId="9" fillId="0" borderId="31" xfId="0" applyFont="1" applyFill="1" applyBorder="1" applyAlignment="1">
      <alignment/>
    </xf>
    <xf numFmtId="1" fontId="9" fillId="0" borderId="11" xfId="0" applyNumberFormat="1" applyFont="1" applyFill="1" applyBorder="1" applyAlignment="1">
      <alignment/>
    </xf>
    <xf numFmtId="1" fontId="9" fillId="0" borderId="28" xfId="0" applyNumberFormat="1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1" fontId="6" fillId="0" borderId="8" xfId="0" applyNumberFormat="1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1" fontId="6" fillId="0" borderId="39" xfId="0" applyNumberFormat="1" applyFont="1" applyFill="1" applyBorder="1" applyAlignment="1">
      <alignment/>
    </xf>
    <xf numFmtId="1" fontId="6" fillId="0" borderId="20" xfId="0" applyNumberFormat="1" applyFont="1" applyFill="1" applyBorder="1" applyAlignment="1">
      <alignment/>
    </xf>
    <xf numFmtId="1" fontId="6" fillId="0" borderId="11" xfId="0" applyNumberFormat="1" applyFont="1" applyFill="1" applyBorder="1" applyAlignment="1">
      <alignment/>
    </xf>
    <xf numFmtId="1" fontId="6" fillId="0" borderId="14" xfId="0" applyNumberFormat="1" applyFont="1" applyFill="1" applyBorder="1" applyAlignment="1">
      <alignment/>
    </xf>
    <xf numFmtId="0" fontId="6" fillId="0" borderId="22" xfId="0" applyFont="1" applyFill="1" applyBorder="1" applyAlignment="1">
      <alignment/>
    </xf>
    <xf numFmtId="1" fontId="6" fillId="0" borderId="19" xfId="0" applyNumberFormat="1" applyFont="1" applyFill="1" applyBorder="1" applyAlignment="1">
      <alignment/>
    </xf>
    <xf numFmtId="1" fontId="9" fillId="0" borderId="24" xfId="0" applyNumberFormat="1" applyFont="1" applyFill="1" applyBorder="1" applyAlignment="1">
      <alignment/>
    </xf>
    <xf numFmtId="1" fontId="6" fillId="0" borderId="3" xfId="0" applyNumberFormat="1" applyFont="1" applyFill="1" applyBorder="1" applyAlignment="1">
      <alignment/>
    </xf>
    <xf numFmtId="14" fontId="2" fillId="0" borderId="1" xfId="0" applyNumberFormat="1" applyFont="1" applyFill="1" applyBorder="1" applyAlignment="1">
      <alignment horizontal="center"/>
    </xf>
    <xf numFmtId="14" fontId="2" fillId="0" borderId="41" xfId="0" applyNumberFormat="1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14" fontId="6" fillId="0" borderId="41" xfId="0" applyNumberFormat="1" applyFont="1" applyFill="1" applyBorder="1" applyAlignment="1">
      <alignment horizontal="center"/>
    </xf>
    <xf numFmtId="1" fontId="6" fillId="0" borderId="37" xfId="0" applyNumberFormat="1" applyFont="1" applyFill="1" applyBorder="1" applyAlignment="1">
      <alignment/>
    </xf>
    <xf numFmtId="0" fontId="2" fillId="0" borderId="31" xfId="0" applyFont="1" applyFill="1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.úprava rozpočtu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16.8515625" style="0" customWidth="1"/>
    <col min="3" max="3" width="4.140625" style="0" customWidth="1"/>
    <col min="4" max="4" width="31.00390625" style="0" customWidth="1"/>
    <col min="5" max="5" width="0.42578125" style="126" hidden="1" customWidth="1"/>
    <col min="6" max="7" width="0.71875" style="126" hidden="1" customWidth="1"/>
    <col min="8" max="8" width="0.13671875" style="126" hidden="1" customWidth="1"/>
    <col min="9" max="10" width="9.7109375" style="126" hidden="1" customWidth="1"/>
    <col min="11" max="12" width="0.71875" style="126" customWidth="1"/>
    <col min="13" max="16" width="9.7109375" style="126" customWidth="1"/>
    <col min="17" max="17" width="11.00390625" style="0" customWidth="1"/>
  </cols>
  <sheetData>
    <row r="1" spans="1:16" ht="18.75" thickBot="1">
      <c r="A1" s="1" t="s">
        <v>0</v>
      </c>
      <c r="B1" s="2"/>
      <c r="C1" s="2"/>
      <c r="D1" s="2"/>
      <c r="E1" s="146" t="s">
        <v>133</v>
      </c>
      <c r="F1" s="147"/>
      <c r="G1" s="146" t="s">
        <v>142</v>
      </c>
      <c r="H1" s="147"/>
      <c r="I1" s="146" t="s">
        <v>152</v>
      </c>
      <c r="J1" s="147"/>
      <c r="K1" s="146" t="s">
        <v>153</v>
      </c>
      <c r="L1" s="147"/>
      <c r="M1" s="146" t="s">
        <v>158</v>
      </c>
      <c r="N1" s="147"/>
      <c r="O1" s="148" t="s">
        <v>164</v>
      </c>
      <c r="P1" s="149"/>
    </row>
    <row r="2" spans="1:16" ht="13.5" thickBot="1">
      <c r="A2" s="3" t="s">
        <v>1</v>
      </c>
      <c r="B2" s="4" t="s">
        <v>2</v>
      </c>
      <c r="C2" s="4" t="s">
        <v>3</v>
      </c>
      <c r="D2" s="5" t="s">
        <v>4</v>
      </c>
      <c r="E2" s="6"/>
      <c r="F2" s="7" t="s">
        <v>5</v>
      </c>
      <c r="G2" s="6"/>
      <c r="H2" s="7" t="s">
        <v>5</v>
      </c>
      <c r="I2" s="6"/>
      <c r="J2" s="7" t="s">
        <v>5</v>
      </c>
      <c r="K2" s="6"/>
      <c r="L2" s="7" t="s">
        <v>5</v>
      </c>
      <c r="M2" s="6"/>
      <c r="N2" s="7" t="s">
        <v>5</v>
      </c>
      <c r="O2" s="6"/>
      <c r="P2" s="7" t="s">
        <v>5</v>
      </c>
    </row>
    <row r="3" spans="1:16" ht="12.75">
      <c r="A3" s="8" t="s">
        <v>6</v>
      </c>
      <c r="B3" s="9" t="s">
        <v>7</v>
      </c>
      <c r="C3" s="9">
        <v>1</v>
      </c>
      <c r="D3" s="10" t="s">
        <v>8</v>
      </c>
      <c r="E3" s="70">
        <f>10483.3+814</f>
        <v>11297.3</v>
      </c>
      <c r="F3" s="71"/>
      <c r="G3" s="70">
        <f>10483.3+814</f>
        <v>11297.3</v>
      </c>
      <c r="H3" s="71"/>
      <c r="I3" s="70">
        <f>10483.3+814</f>
        <v>11297.3</v>
      </c>
      <c r="J3" s="71"/>
      <c r="K3" s="70">
        <f>10483.3+814+19+70+20</f>
        <v>11406.3</v>
      </c>
      <c r="L3" s="71"/>
      <c r="M3" s="70">
        <f>10483.3+814+19+70+20+212+10</f>
        <v>11628.3</v>
      </c>
      <c r="N3" s="71"/>
      <c r="O3" s="150">
        <f>10483.3+814+29+70+20+212+10</f>
        <v>11638.3</v>
      </c>
      <c r="P3" s="71"/>
    </row>
    <row r="4" spans="1:16" ht="12.75">
      <c r="A4" s="12"/>
      <c r="B4" s="13"/>
      <c r="C4" s="13">
        <f aca="true" t="shared" si="0" ref="C4:C15">+C3+1</f>
        <v>2</v>
      </c>
      <c r="D4" s="14" t="s">
        <v>9</v>
      </c>
      <c r="E4" s="72">
        <f>812.58+960</f>
        <v>1772.58</v>
      </c>
      <c r="F4" s="73"/>
      <c r="G4" s="72">
        <f>812.58+960</f>
        <v>1772.58</v>
      </c>
      <c r="H4" s="73"/>
      <c r="I4" s="72">
        <f>812.58+960</f>
        <v>1772.58</v>
      </c>
      <c r="J4" s="73"/>
      <c r="K4" s="72">
        <f>812.58+960</f>
        <v>1772.58</v>
      </c>
      <c r="L4" s="73"/>
      <c r="M4" s="72">
        <f>812.58+960</f>
        <v>1772.58</v>
      </c>
      <c r="N4" s="73"/>
      <c r="O4" s="72">
        <f>812.58+960</f>
        <v>1772.58</v>
      </c>
      <c r="P4" s="73"/>
    </row>
    <row r="5" spans="1:16" ht="12.75">
      <c r="A5" s="12"/>
      <c r="B5" s="13"/>
      <c r="C5" s="13">
        <f t="shared" si="0"/>
        <v>3</v>
      </c>
      <c r="D5" s="14" t="s">
        <v>10</v>
      </c>
      <c r="E5" s="72">
        <v>0</v>
      </c>
      <c r="F5" s="74"/>
      <c r="G5" s="72">
        <v>0</v>
      </c>
      <c r="H5" s="74"/>
      <c r="I5" s="72">
        <v>0</v>
      </c>
      <c r="J5" s="74"/>
      <c r="K5" s="72">
        <v>0</v>
      </c>
      <c r="L5" s="74"/>
      <c r="M5" s="72">
        <v>0</v>
      </c>
      <c r="N5" s="74"/>
      <c r="O5" s="72">
        <v>0</v>
      </c>
      <c r="P5" s="74"/>
    </row>
    <row r="6" spans="1:16" ht="12.75">
      <c r="A6" s="15"/>
      <c r="B6" s="16"/>
      <c r="C6" s="13">
        <f t="shared" si="0"/>
        <v>4</v>
      </c>
      <c r="D6" s="14" t="s">
        <v>11</v>
      </c>
      <c r="E6" s="72">
        <v>456</v>
      </c>
      <c r="F6" s="74"/>
      <c r="G6" s="72">
        <v>456</v>
      </c>
      <c r="H6" s="74"/>
      <c r="I6" s="72">
        <v>456</v>
      </c>
      <c r="J6" s="74"/>
      <c r="K6" s="72">
        <v>228</v>
      </c>
      <c r="L6" s="74"/>
      <c r="M6" s="72">
        <v>228</v>
      </c>
      <c r="N6" s="74"/>
      <c r="O6" s="72">
        <v>228</v>
      </c>
      <c r="P6" s="74"/>
    </row>
    <row r="7" spans="1:16" ht="12.75">
      <c r="A7" s="15"/>
      <c r="B7" s="16"/>
      <c r="C7" s="13">
        <f t="shared" si="0"/>
        <v>5</v>
      </c>
      <c r="D7" s="17" t="s">
        <v>12</v>
      </c>
      <c r="E7" s="72">
        <v>0</v>
      </c>
      <c r="F7" s="74"/>
      <c r="G7" s="72">
        <v>323</v>
      </c>
      <c r="H7" s="74"/>
      <c r="I7" s="72">
        <v>323</v>
      </c>
      <c r="J7" s="74"/>
      <c r="K7" s="72">
        <v>323</v>
      </c>
      <c r="L7" s="74"/>
      <c r="M7" s="72">
        <v>323</v>
      </c>
      <c r="N7" s="74"/>
      <c r="O7" s="72">
        <v>323</v>
      </c>
      <c r="P7" s="74"/>
    </row>
    <row r="8" spans="1:16" ht="12.75">
      <c r="A8" s="15"/>
      <c r="B8" s="16"/>
      <c r="C8" s="13">
        <f t="shared" si="0"/>
        <v>6</v>
      </c>
      <c r="D8" s="18" t="s">
        <v>13</v>
      </c>
      <c r="E8" s="72">
        <v>0</v>
      </c>
      <c r="F8" s="74"/>
      <c r="G8" s="72">
        <v>100</v>
      </c>
      <c r="H8" s="74"/>
      <c r="I8" s="72">
        <v>150</v>
      </c>
      <c r="J8" s="74"/>
      <c r="K8" s="72">
        <f>26+150+56</f>
        <v>232</v>
      </c>
      <c r="L8" s="74"/>
      <c r="M8" s="72">
        <f>33+189+98+97</f>
        <v>417</v>
      </c>
      <c r="N8" s="74"/>
      <c r="O8" s="72">
        <f>33+189+98+97</f>
        <v>417</v>
      </c>
      <c r="P8" s="74"/>
    </row>
    <row r="9" spans="1:16" ht="12.75">
      <c r="A9" s="15"/>
      <c r="B9" s="16"/>
      <c r="C9" s="13">
        <f t="shared" si="0"/>
        <v>7</v>
      </c>
      <c r="D9" s="18" t="s">
        <v>14</v>
      </c>
      <c r="E9" s="72">
        <v>0</v>
      </c>
      <c r="F9" s="74"/>
      <c r="G9" s="72">
        <v>0</v>
      </c>
      <c r="H9" s="74"/>
      <c r="I9" s="72">
        <v>100</v>
      </c>
      <c r="J9" s="74"/>
      <c r="K9" s="72">
        <f>32+140+311-42</f>
        <v>441</v>
      </c>
      <c r="L9" s="74"/>
      <c r="M9" s="72">
        <f>32+140+311-42+36+71</f>
        <v>548</v>
      </c>
      <c r="N9" s="74"/>
      <c r="O9" s="128">
        <f>89+283+305</f>
        <v>677</v>
      </c>
      <c r="P9" s="74"/>
    </row>
    <row r="10" spans="1:16" ht="12.75">
      <c r="A10" s="15"/>
      <c r="B10" s="16"/>
      <c r="C10" s="13">
        <f t="shared" si="0"/>
        <v>8</v>
      </c>
      <c r="D10" s="19" t="s">
        <v>15</v>
      </c>
      <c r="E10" s="72">
        <v>0</v>
      </c>
      <c r="F10" s="74"/>
      <c r="G10" s="72">
        <v>0</v>
      </c>
      <c r="H10" s="74"/>
      <c r="I10" s="72">
        <v>925</v>
      </c>
      <c r="J10" s="74"/>
      <c r="K10" s="72">
        <v>925</v>
      </c>
      <c r="L10" s="74"/>
      <c r="M10" s="72">
        <v>925</v>
      </c>
      <c r="N10" s="74"/>
      <c r="O10" s="72">
        <v>925</v>
      </c>
      <c r="P10" s="74"/>
    </row>
    <row r="11" spans="1:16" ht="12.75">
      <c r="A11" s="15"/>
      <c r="B11" s="16"/>
      <c r="C11" s="13">
        <f t="shared" si="0"/>
        <v>9</v>
      </c>
      <c r="D11" s="19" t="s">
        <v>143</v>
      </c>
      <c r="E11" s="72"/>
      <c r="F11" s="74"/>
      <c r="G11" s="72"/>
      <c r="H11" s="74"/>
      <c r="I11" s="72">
        <v>413</v>
      </c>
      <c r="J11" s="74"/>
      <c r="K11" s="72">
        <v>404</v>
      </c>
      <c r="L11" s="74"/>
      <c r="M11" s="72">
        <v>404</v>
      </c>
      <c r="N11" s="74"/>
      <c r="O11" s="72">
        <v>404</v>
      </c>
      <c r="P11" s="74"/>
    </row>
    <row r="12" spans="1:16" ht="12.75">
      <c r="A12" s="15"/>
      <c r="B12" s="16"/>
      <c r="C12" s="13">
        <f t="shared" si="0"/>
        <v>10</v>
      </c>
      <c r="D12" s="19" t="s">
        <v>146</v>
      </c>
      <c r="E12" s="72"/>
      <c r="F12" s="74"/>
      <c r="G12" s="72"/>
      <c r="H12" s="74"/>
      <c r="I12" s="72">
        <v>439</v>
      </c>
      <c r="J12" s="74"/>
      <c r="K12" s="72">
        <v>439</v>
      </c>
      <c r="L12" s="74"/>
      <c r="M12" s="72">
        <v>439</v>
      </c>
      <c r="N12" s="74"/>
      <c r="O12" s="72">
        <v>439</v>
      </c>
      <c r="P12" s="74"/>
    </row>
    <row r="13" spans="1:16" ht="12.75">
      <c r="A13" s="15"/>
      <c r="B13" s="16"/>
      <c r="C13" s="13">
        <f t="shared" si="0"/>
        <v>11</v>
      </c>
      <c r="D13" s="19" t="s">
        <v>151</v>
      </c>
      <c r="E13" s="72"/>
      <c r="F13" s="74"/>
      <c r="G13" s="72"/>
      <c r="H13" s="74"/>
      <c r="I13" s="72">
        <v>200</v>
      </c>
      <c r="J13" s="74"/>
      <c r="K13" s="72">
        <v>200</v>
      </c>
      <c r="L13" s="74"/>
      <c r="M13" s="72">
        <v>200</v>
      </c>
      <c r="N13" s="74"/>
      <c r="O13" s="72">
        <v>200</v>
      </c>
      <c r="P13" s="74"/>
    </row>
    <row r="14" spans="1:16" ht="12.75">
      <c r="A14" s="15"/>
      <c r="B14" s="16"/>
      <c r="C14" s="13">
        <f t="shared" si="0"/>
        <v>12</v>
      </c>
      <c r="D14" s="19" t="s">
        <v>101</v>
      </c>
      <c r="E14" s="72"/>
      <c r="F14" s="74"/>
      <c r="G14" s="72"/>
      <c r="H14" s="74"/>
      <c r="I14" s="72"/>
      <c r="J14" s="74"/>
      <c r="K14" s="72">
        <v>100</v>
      </c>
      <c r="L14" s="74"/>
      <c r="M14" s="72">
        <v>100</v>
      </c>
      <c r="N14" s="74"/>
      <c r="O14" s="72">
        <v>100</v>
      </c>
      <c r="P14" s="74"/>
    </row>
    <row r="15" spans="1:16" ht="12.75">
      <c r="A15" s="15"/>
      <c r="B15" s="16"/>
      <c r="C15" s="13">
        <f t="shared" si="0"/>
        <v>13</v>
      </c>
      <c r="D15" s="19" t="s">
        <v>16</v>
      </c>
      <c r="E15" s="75">
        <v>0</v>
      </c>
      <c r="F15" s="74"/>
      <c r="G15" s="75">
        <f>69+31</f>
        <v>100</v>
      </c>
      <c r="H15" s="74"/>
      <c r="I15" s="75">
        <v>9</v>
      </c>
      <c r="J15" s="74"/>
      <c r="K15" s="75">
        <f>9+10+30+6+62</f>
        <v>117</v>
      </c>
      <c r="L15" s="74"/>
      <c r="M15" s="75">
        <f>9+10+30+6+62+45+14+87</f>
        <v>263</v>
      </c>
      <c r="N15" s="74"/>
      <c r="O15" s="75">
        <f>9+10+30+6+62+45+14+87</f>
        <v>263</v>
      </c>
      <c r="P15" s="74"/>
    </row>
    <row r="16" spans="1:16" ht="13.5" thickBot="1">
      <c r="A16" s="20"/>
      <c r="B16" s="21"/>
      <c r="C16" s="21"/>
      <c r="D16" s="22" t="s">
        <v>5</v>
      </c>
      <c r="E16" s="76"/>
      <c r="F16" s="77">
        <f>SUM(E3:E15)</f>
        <v>13525.88</v>
      </c>
      <c r="G16" s="76"/>
      <c r="H16" s="77">
        <f>SUM(G3:G15)</f>
        <v>14048.88</v>
      </c>
      <c r="I16" s="76"/>
      <c r="J16" s="77">
        <f>SUM(I3:I15)</f>
        <v>16084.88</v>
      </c>
      <c r="K16" s="76"/>
      <c r="L16" s="77">
        <f>SUM(K3:K15)</f>
        <v>16587.879999999997</v>
      </c>
      <c r="M16" s="76"/>
      <c r="N16" s="77">
        <f>SUM(M3:M15)</f>
        <v>17247.879999999997</v>
      </c>
      <c r="O16" s="76"/>
      <c r="P16" s="77">
        <f>SUM(O3:O15)</f>
        <v>17386.879999999997</v>
      </c>
    </row>
    <row r="17" spans="1:16" ht="12.75">
      <c r="A17" s="23" t="s">
        <v>17</v>
      </c>
      <c r="B17" s="24" t="s">
        <v>18</v>
      </c>
      <c r="C17" s="24">
        <v>1</v>
      </c>
      <c r="D17" s="17" t="s">
        <v>19</v>
      </c>
      <c r="E17" s="78">
        <v>3000</v>
      </c>
      <c r="F17" s="79"/>
      <c r="G17" s="78">
        <v>3000</v>
      </c>
      <c r="H17" s="79"/>
      <c r="I17" s="78">
        <v>3000</v>
      </c>
      <c r="J17" s="79"/>
      <c r="K17" s="78">
        <v>3000</v>
      </c>
      <c r="L17" s="79"/>
      <c r="M17" s="78">
        <v>3000</v>
      </c>
      <c r="N17" s="79"/>
      <c r="O17" s="130">
        <v>2700</v>
      </c>
      <c r="P17" s="79"/>
    </row>
    <row r="18" spans="1:16" ht="12.75">
      <c r="A18" s="12"/>
      <c r="B18" s="13"/>
      <c r="C18" s="13">
        <v>2</v>
      </c>
      <c r="D18" s="14" t="s">
        <v>20</v>
      </c>
      <c r="E18" s="72">
        <f>6600+440+13700+550+5860</f>
        <v>27150</v>
      </c>
      <c r="F18" s="74"/>
      <c r="G18" s="72">
        <f>6600+440+13700+550+5860</f>
        <v>27150</v>
      </c>
      <c r="H18" s="74"/>
      <c r="I18" s="72">
        <f>6600+440+13700+550+5860</f>
        <v>27150</v>
      </c>
      <c r="J18" s="74"/>
      <c r="K18" s="72">
        <f>6600+440+13700+550+5860</f>
        <v>27150</v>
      </c>
      <c r="L18" s="74"/>
      <c r="M18" s="72">
        <f>6600+440+13700+550+5860</f>
        <v>27150</v>
      </c>
      <c r="N18" s="74"/>
      <c r="O18" s="128">
        <f>6600+440+13700+550+5860+350</f>
        <v>27500</v>
      </c>
      <c r="P18" s="74"/>
    </row>
    <row r="19" spans="1:16" ht="12.75">
      <c r="A19" s="12"/>
      <c r="B19" s="13"/>
      <c r="C19" s="13">
        <v>3</v>
      </c>
      <c r="D19" s="14" t="s">
        <v>21</v>
      </c>
      <c r="E19" s="75">
        <v>1000</v>
      </c>
      <c r="F19" s="74"/>
      <c r="G19" s="75">
        <v>570</v>
      </c>
      <c r="H19" s="74"/>
      <c r="I19" s="75">
        <v>570</v>
      </c>
      <c r="J19" s="74"/>
      <c r="K19" s="75">
        <v>570</v>
      </c>
      <c r="L19" s="74"/>
      <c r="M19" s="75">
        <v>570</v>
      </c>
      <c r="N19" s="74"/>
      <c r="O19" s="75">
        <v>570</v>
      </c>
      <c r="P19" s="74"/>
    </row>
    <row r="20" spans="1:16" ht="13.5" thickBot="1">
      <c r="A20" s="20"/>
      <c r="B20" s="21"/>
      <c r="C20" s="21"/>
      <c r="D20" s="22" t="s">
        <v>22</v>
      </c>
      <c r="E20" s="76"/>
      <c r="F20" s="77">
        <f>SUM(E17:E19)</f>
        <v>31150</v>
      </c>
      <c r="G20" s="76"/>
      <c r="H20" s="77">
        <f>SUM(G17:G19)</f>
        <v>30720</v>
      </c>
      <c r="I20" s="76"/>
      <c r="J20" s="77">
        <f>SUM(I17:I19)</f>
        <v>30720</v>
      </c>
      <c r="K20" s="76"/>
      <c r="L20" s="77">
        <f>SUM(K17:K19)</f>
        <v>30720</v>
      </c>
      <c r="M20" s="76"/>
      <c r="N20" s="77">
        <f>SUM(M17:M19)</f>
        <v>30720</v>
      </c>
      <c r="O20" s="76"/>
      <c r="P20" s="129">
        <f>SUM(O17:O19)</f>
        <v>30770</v>
      </c>
    </row>
    <row r="21" spans="1:16" ht="12.75">
      <c r="A21" s="12" t="s">
        <v>23</v>
      </c>
      <c r="B21" s="24" t="s">
        <v>24</v>
      </c>
      <c r="C21" s="13">
        <v>1</v>
      </c>
      <c r="D21" s="14" t="s">
        <v>25</v>
      </c>
      <c r="E21" s="75">
        <v>1250</v>
      </c>
      <c r="F21" s="74"/>
      <c r="G21" s="75">
        <v>1250</v>
      </c>
      <c r="H21" s="74"/>
      <c r="I21" s="75">
        <v>1250</v>
      </c>
      <c r="J21" s="74"/>
      <c r="K21" s="75">
        <v>1250</v>
      </c>
      <c r="L21" s="74"/>
      <c r="M21" s="75">
        <v>1250</v>
      </c>
      <c r="N21" s="74"/>
      <c r="O21" s="75">
        <v>1250</v>
      </c>
      <c r="P21" s="74"/>
    </row>
    <row r="22" spans="1:16" ht="12.75">
      <c r="A22" s="12"/>
      <c r="B22" s="13"/>
      <c r="C22" s="13">
        <f aca="true" t="shared" si="1" ref="C22:C31">+C21+1</f>
        <v>2</v>
      </c>
      <c r="D22" s="14" t="s">
        <v>26</v>
      </c>
      <c r="E22" s="75">
        <v>350</v>
      </c>
      <c r="F22" s="74"/>
      <c r="G22" s="75">
        <v>350</v>
      </c>
      <c r="H22" s="74"/>
      <c r="I22" s="75">
        <v>350</v>
      </c>
      <c r="J22" s="74"/>
      <c r="K22" s="75">
        <v>350</v>
      </c>
      <c r="L22" s="74"/>
      <c r="M22" s="75">
        <v>350</v>
      </c>
      <c r="N22" s="74"/>
      <c r="O22" s="75">
        <v>350</v>
      </c>
      <c r="P22" s="74"/>
    </row>
    <row r="23" spans="1:16" ht="12.75">
      <c r="A23" s="12"/>
      <c r="B23" s="13"/>
      <c r="C23" s="13">
        <f t="shared" si="1"/>
        <v>3</v>
      </c>
      <c r="D23" s="14" t="s">
        <v>27</v>
      </c>
      <c r="E23" s="75">
        <v>130</v>
      </c>
      <c r="F23" s="74"/>
      <c r="G23" s="75">
        <v>130</v>
      </c>
      <c r="H23" s="74"/>
      <c r="I23" s="75">
        <v>130</v>
      </c>
      <c r="J23" s="74"/>
      <c r="K23" s="75">
        <v>130</v>
      </c>
      <c r="L23" s="74"/>
      <c r="M23" s="75">
        <v>130</v>
      </c>
      <c r="N23" s="74"/>
      <c r="O23" s="75">
        <v>130</v>
      </c>
      <c r="P23" s="74"/>
    </row>
    <row r="24" spans="1:16" ht="12.75">
      <c r="A24" s="12"/>
      <c r="B24" s="13"/>
      <c r="C24" s="13">
        <f t="shared" si="1"/>
        <v>4</v>
      </c>
      <c r="D24" s="14" t="s">
        <v>28</v>
      </c>
      <c r="E24" s="75">
        <v>240</v>
      </c>
      <c r="F24" s="74"/>
      <c r="G24" s="75">
        <v>240</v>
      </c>
      <c r="H24" s="74"/>
      <c r="I24" s="75">
        <v>240</v>
      </c>
      <c r="J24" s="74"/>
      <c r="K24" s="75">
        <v>240</v>
      </c>
      <c r="L24" s="74"/>
      <c r="M24" s="75">
        <v>240</v>
      </c>
      <c r="N24" s="74"/>
      <c r="O24" s="75">
        <v>240</v>
      </c>
      <c r="P24" s="74"/>
    </row>
    <row r="25" spans="1:16" ht="12.75">
      <c r="A25" s="12"/>
      <c r="B25" s="13"/>
      <c r="C25" s="13">
        <f t="shared" si="1"/>
        <v>5</v>
      </c>
      <c r="D25" s="14" t="s">
        <v>29</v>
      </c>
      <c r="E25" s="75">
        <v>220</v>
      </c>
      <c r="F25" s="74"/>
      <c r="G25" s="75">
        <v>220</v>
      </c>
      <c r="H25" s="74"/>
      <c r="I25" s="75">
        <v>220</v>
      </c>
      <c r="J25" s="74"/>
      <c r="K25" s="75">
        <v>220</v>
      </c>
      <c r="L25" s="74"/>
      <c r="M25" s="75">
        <v>220</v>
      </c>
      <c r="N25" s="74"/>
      <c r="O25" s="75">
        <v>220</v>
      </c>
      <c r="P25" s="74"/>
    </row>
    <row r="26" spans="1:16" ht="12.75">
      <c r="A26" s="12"/>
      <c r="B26" s="13" t="s">
        <v>30</v>
      </c>
      <c r="C26" s="13">
        <f t="shared" si="1"/>
        <v>6</v>
      </c>
      <c r="D26" s="14" t="s">
        <v>31</v>
      </c>
      <c r="E26" s="75">
        <v>1800</v>
      </c>
      <c r="F26" s="74"/>
      <c r="G26" s="75">
        <v>1800</v>
      </c>
      <c r="H26" s="74"/>
      <c r="I26" s="75">
        <v>1800</v>
      </c>
      <c r="J26" s="74"/>
      <c r="K26" s="75">
        <v>1800</v>
      </c>
      <c r="L26" s="74"/>
      <c r="M26" s="75">
        <v>1800</v>
      </c>
      <c r="N26" s="74"/>
      <c r="O26" s="75">
        <v>1800</v>
      </c>
      <c r="P26" s="74"/>
    </row>
    <row r="27" spans="1:16" ht="12.75">
      <c r="A27" s="12"/>
      <c r="B27" s="13" t="s">
        <v>32</v>
      </c>
      <c r="C27" s="13">
        <f t="shared" si="1"/>
        <v>7</v>
      </c>
      <c r="D27" s="14" t="s">
        <v>33</v>
      </c>
      <c r="E27" s="75">
        <v>112</v>
      </c>
      <c r="F27" s="74"/>
      <c r="G27" s="75">
        <v>112</v>
      </c>
      <c r="H27" s="74"/>
      <c r="I27" s="75">
        <v>112</v>
      </c>
      <c r="J27" s="74"/>
      <c r="K27" s="75">
        <v>112</v>
      </c>
      <c r="L27" s="74"/>
      <c r="M27" s="75">
        <v>112</v>
      </c>
      <c r="N27" s="74"/>
      <c r="O27" s="75">
        <v>112</v>
      </c>
      <c r="P27" s="74"/>
    </row>
    <row r="28" spans="1:16" ht="12.75">
      <c r="A28" s="12"/>
      <c r="B28" s="13"/>
      <c r="C28" s="13">
        <f t="shared" si="1"/>
        <v>8</v>
      </c>
      <c r="D28" s="14" t="s">
        <v>34</v>
      </c>
      <c r="E28" s="75">
        <v>198</v>
      </c>
      <c r="F28" s="74"/>
      <c r="G28" s="75">
        <v>198</v>
      </c>
      <c r="H28" s="74"/>
      <c r="I28" s="75">
        <v>198</v>
      </c>
      <c r="J28" s="74"/>
      <c r="K28" s="75">
        <v>198</v>
      </c>
      <c r="L28" s="74"/>
      <c r="M28" s="75">
        <v>198</v>
      </c>
      <c r="N28" s="74"/>
      <c r="O28" s="75">
        <v>198</v>
      </c>
      <c r="P28" s="74"/>
    </row>
    <row r="29" spans="1:16" ht="12.75">
      <c r="A29" s="12"/>
      <c r="B29" s="13"/>
      <c r="C29" s="13">
        <f t="shared" si="1"/>
        <v>9</v>
      </c>
      <c r="D29" s="14" t="s">
        <v>35</v>
      </c>
      <c r="E29" s="75">
        <v>60</v>
      </c>
      <c r="F29" s="74"/>
      <c r="G29" s="75">
        <v>60</v>
      </c>
      <c r="H29" s="74"/>
      <c r="I29" s="75">
        <v>60</v>
      </c>
      <c r="J29" s="74"/>
      <c r="K29" s="75">
        <v>60</v>
      </c>
      <c r="L29" s="74"/>
      <c r="M29" s="75">
        <v>60</v>
      </c>
      <c r="N29" s="74"/>
      <c r="O29" s="75">
        <v>60</v>
      </c>
      <c r="P29" s="74"/>
    </row>
    <row r="30" spans="1:16" ht="12.75">
      <c r="A30" s="15"/>
      <c r="B30" s="16"/>
      <c r="C30" s="13">
        <f t="shared" si="1"/>
        <v>10</v>
      </c>
      <c r="D30" s="19" t="s">
        <v>36</v>
      </c>
      <c r="E30" s="80">
        <v>2135</v>
      </c>
      <c r="F30" s="81"/>
      <c r="G30" s="80">
        <v>2135</v>
      </c>
      <c r="H30" s="81"/>
      <c r="I30" s="80">
        <v>2135</v>
      </c>
      <c r="J30" s="81"/>
      <c r="K30" s="80">
        <v>2135</v>
      </c>
      <c r="L30" s="81"/>
      <c r="M30" s="80">
        <v>2135</v>
      </c>
      <c r="N30" s="81"/>
      <c r="O30" s="80">
        <v>2135</v>
      </c>
      <c r="P30" s="81"/>
    </row>
    <row r="31" spans="1:16" ht="12.75">
      <c r="A31" s="15"/>
      <c r="B31" s="16" t="s">
        <v>37</v>
      </c>
      <c r="C31" s="13">
        <f t="shared" si="1"/>
        <v>11</v>
      </c>
      <c r="D31" s="19" t="s">
        <v>38</v>
      </c>
      <c r="E31" s="80">
        <v>170</v>
      </c>
      <c r="F31" s="81"/>
      <c r="G31" s="80">
        <v>170</v>
      </c>
      <c r="H31" s="81"/>
      <c r="I31" s="80">
        <v>170</v>
      </c>
      <c r="J31" s="81"/>
      <c r="K31" s="80">
        <v>170</v>
      </c>
      <c r="L31" s="81"/>
      <c r="M31" s="80">
        <v>170</v>
      </c>
      <c r="N31" s="81"/>
      <c r="O31" s="80">
        <v>170</v>
      </c>
      <c r="P31" s="81"/>
    </row>
    <row r="32" spans="1:16" ht="13.5" thickBot="1">
      <c r="A32" s="20"/>
      <c r="B32" s="21"/>
      <c r="C32" s="21"/>
      <c r="D32" s="22" t="s">
        <v>22</v>
      </c>
      <c r="E32" s="76"/>
      <c r="F32" s="82">
        <f>SUM(E21:E31)</f>
        <v>6665</v>
      </c>
      <c r="G32" s="76"/>
      <c r="H32" s="82">
        <f>SUM(G21:G31)</f>
        <v>6665</v>
      </c>
      <c r="I32" s="76"/>
      <c r="J32" s="82">
        <f>SUM(I21:I31)</f>
        <v>6665</v>
      </c>
      <c r="K32" s="76"/>
      <c r="L32" s="82">
        <f>SUM(K21:K31)</f>
        <v>6665</v>
      </c>
      <c r="M32" s="76"/>
      <c r="N32" s="82">
        <f>SUM(M21:M31)</f>
        <v>6665</v>
      </c>
      <c r="O32" s="76"/>
      <c r="P32" s="82">
        <f>SUM(O21:O31)</f>
        <v>6665</v>
      </c>
    </row>
    <row r="33" spans="1:16" ht="12.75">
      <c r="A33" s="8" t="s">
        <v>39</v>
      </c>
      <c r="B33" s="9" t="s">
        <v>40</v>
      </c>
      <c r="C33" s="9">
        <v>1</v>
      </c>
      <c r="D33" s="10" t="s">
        <v>41</v>
      </c>
      <c r="E33" s="83">
        <v>238</v>
      </c>
      <c r="F33" s="71"/>
      <c r="G33" s="83">
        <v>238</v>
      </c>
      <c r="H33" s="71"/>
      <c r="I33" s="83">
        <v>238</v>
      </c>
      <c r="J33" s="71"/>
      <c r="K33" s="83">
        <v>250</v>
      </c>
      <c r="L33" s="71"/>
      <c r="M33" s="83">
        <v>250</v>
      </c>
      <c r="N33" s="71"/>
      <c r="O33" s="83">
        <v>250</v>
      </c>
      <c r="P33" s="71"/>
    </row>
    <row r="34" spans="1:17" ht="12.75">
      <c r="A34" s="12"/>
      <c r="B34" s="13" t="s">
        <v>42</v>
      </c>
      <c r="C34" s="13">
        <v>2</v>
      </c>
      <c r="D34" s="14" t="s">
        <v>43</v>
      </c>
      <c r="E34" s="75">
        <v>4000</v>
      </c>
      <c r="F34" s="74"/>
      <c r="G34" s="75">
        <v>4000</v>
      </c>
      <c r="H34" s="74"/>
      <c r="I34" s="75">
        <v>3950</v>
      </c>
      <c r="J34" s="74"/>
      <c r="K34" s="75">
        <v>3950</v>
      </c>
      <c r="L34" s="74"/>
      <c r="M34" s="75">
        <v>3950</v>
      </c>
      <c r="N34" s="74"/>
      <c r="O34" s="75">
        <v>3950</v>
      </c>
      <c r="P34" s="74"/>
      <c r="Q34">
        <f>3950-3572</f>
        <v>378</v>
      </c>
    </row>
    <row r="35" spans="1:17" ht="12.75">
      <c r="A35" s="15"/>
      <c r="B35" s="16"/>
      <c r="C35" s="13">
        <v>3</v>
      </c>
      <c r="D35" s="19" t="s">
        <v>44</v>
      </c>
      <c r="E35" s="80">
        <v>2500</v>
      </c>
      <c r="F35" s="81"/>
      <c r="G35" s="80">
        <v>2500</v>
      </c>
      <c r="H35" s="81"/>
      <c r="I35" s="80">
        <v>2550</v>
      </c>
      <c r="J35" s="81"/>
      <c r="K35" s="80">
        <v>2500</v>
      </c>
      <c r="L35" s="81"/>
      <c r="M35" s="80">
        <v>100</v>
      </c>
      <c r="N35" s="81"/>
      <c r="O35" s="80">
        <v>100</v>
      </c>
      <c r="P35" s="81"/>
      <c r="Q35" t="s">
        <v>163</v>
      </c>
    </row>
    <row r="36" spans="1:17" ht="12.75">
      <c r="A36" s="15"/>
      <c r="B36" s="16"/>
      <c r="C36" s="13">
        <v>4</v>
      </c>
      <c r="D36" s="19" t="s">
        <v>155</v>
      </c>
      <c r="E36" s="80"/>
      <c r="F36" s="81"/>
      <c r="G36" s="80"/>
      <c r="H36" s="81"/>
      <c r="I36" s="80"/>
      <c r="J36" s="81"/>
      <c r="K36" s="80">
        <v>50</v>
      </c>
      <c r="L36" s="81"/>
      <c r="M36" s="80">
        <v>70</v>
      </c>
      <c r="N36" s="81"/>
      <c r="O36" s="80">
        <v>70</v>
      </c>
      <c r="P36" s="81"/>
      <c r="Q36" t="s">
        <v>163</v>
      </c>
    </row>
    <row r="37" spans="1:16" ht="12.75">
      <c r="A37" s="15"/>
      <c r="B37" s="16"/>
      <c r="C37" s="13">
        <v>5</v>
      </c>
      <c r="D37" s="19" t="s">
        <v>45</v>
      </c>
      <c r="E37" s="80">
        <f>24*12</f>
        <v>288</v>
      </c>
      <c r="F37" s="81"/>
      <c r="G37" s="80">
        <f>24*12</f>
        <v>288</v>
      </c>
      <c r="H37" s="81"/>
      <c r="I37" s="80">
        <f>24*12</f>
        <v>288</v>
      </c>
      <c r="J37" s="81"/>
      <c r="K37" s="80">
        <f>24*12</f>
        <v>288</v>
      </c>
      <c r="L37" s="81"/>
      <c r="M37" s="80">
        <f>24*12</f>
        <v>288</v>
      </c>
      <c r="N37" s="81"/>
      <c r="O37" s="80">
        <f>24*12</f>
        <v>288</v>
      </c>
      <c r="P37" s="81"/>
    </row>
    <row r="38" spans="1:16" ht="13.5" thickBot="1">
      <c r="A38" s="20"/>
      <c r="B38" s="21"/>
      <c r="C38" s="21"/>
      <c r="D38" s="22" t="s">
        <v>22</v>
      </c>
      <c r="E38" s="76"/>
      <c r="F38" s="82">
        <f>SUM(E33:E37)</f>
        <v>7026</v>
      </c>
      <c r="G38" s="76"/>
      <c r="H38" s="82">
        <f>SUM(G33:G37)</f>
        <v>7026</v>
      </c>
      <c r="I38" s="76"/>
      <c r="J38" s="82">
        <f>SUM(I33:I37)</f>
        <v>7026</v>
      </c>
      <c r="K38" s="76"/>
      <c r="L38" s="82">
        <f>SUM(K33:K37)</f>
        <v>7038</v>
      </c>
      <c r="M38" s="76"/>
      <c r="N38" s="82">
        <f>SUM(M33:M37)</f>
        <v>4658</v>
      </c>
      <c r="O38" s="76"/>
      <c r="P38" s="82">
        <f>SUM(O33:O37)</f>
        <v>4658</v>
      </c>
    </row>
    <row r="39" spans="1:16" ht="12.75">
      <c r="A39" s="8" t="s">
        <v>46</v>
      </c>
      <c r="B39" s="25" t="s">
        <v>47</v>
      </c>
      <c r="C39" s="25">
        <v>1</v>
      </c>
      <c r="D39" s="10" t="s">
        <v>48</v>
      </c>
      <c r="E39" s="83">
        <v>134</v>
      </c>
      <c r="F39" s="71"/>
      <c r="G39" s="83">
        <v>134</v>
      </c>
      <c r="H39" s="71"/>
      <c r="I39" s="83">
        <v>134</v>
      </c>
      <c r="J39" s="71"/>
      <c r="K39" s="83">
        <v>134</v>
      </c>
      <c r="L39" s="71"/>
      <c r="M39" s="83">
        <v>134</v>
      </c>
      <c r="N39" s="71"/>
      <c r="O39" s="83">
        <v>134</v>
      </c>
      <c r="P39" s="71"/>
    </row>
    <row r="40" spans="1:16" ht="12.75">
      <c r="A40" s="23"/>
      <c r="B40" s="26"/>
      <c r="C40" s="26">
        <v>2</v>
      </c>
      <c r="D40" s="17" t="s">
        <v>49</v>
      </c>
      <c r="E40" s="78">
        <v>300</v>
      </c>
      <c r="F40" s="79"/>
      <c r="G40" s="78">
        <v>350</v>
      </c>
      <c r="H40" s="79"/>
      <c r="I40" s="78">
        <v>350</v>
      </c>
      <c r="J40" s="79"/>
      <c r="K40" s="78">
        <v>350</v>
      </c>
      <c r="L40" s="79"/>
      <c r="M40" s="78">
        <v>350</v>
      </c>
      <c r="N40" s="79"/>
      <c r="O40" s="78">
        <v>350</v>
      </c>
      <c r="P40" s="79"/>
    </row>
    <row r="41" spans="1:16" ht="12.75">
      <c r="A41" s="12"/>
      <c r="B41" s="27"/>
      <c r="C41" s="27">
        <v>3</v>
      </c>
      <c r="D41" s="14" t="s">
        <v>50</v>
      </c>
      <c r="E41" s="75">
        <v>446</v>
      </c>
      <c r="F41" s="74"/>
      <c r="G41" s="75">
        <v>446</v>
      </c>
      <c r="H41" s="74"/>
      <c r="I41" s="75">
        <v>446</v>
      </c>
      <c r="J41" s="74"/>
      <c r="K41" s="75">
        <v>446</v>
      </c>
      <c r="L41" s="74"/>
      <c r="M41" s="75">
        <v>446</v>
      </c>
      <c r="N41" s="74"/>
      <c r="O41" s="75">
        <v>446</v>
      </c>
      <c r="P41" s="74"/>
    </row>
    <row r="42" spans="1:16" ht="12.75">
      <c r="A42" s="15"/>
      <c r="B42" s="28"/>
      <c r="C42" s="28">
        <v>4</v>
      </c>
      <c r="D42" s="19" t="s">
        <v>51</v>
      </c>
      <c r="E42" s="84">
        <f>120+418</f>
        <v>538</v>
      </c>
      <c r="F42" s="81"/>
      <c r="G42" s="84">
        <f>120+418</f>
        <v>538</v>
      </c>
      <c r="H42" s="81"/>
      <c r="I42" s="84">
        <f>120+418</f>
        <v>538</v>
      </c>
      <c r="J42" s="81"/>
      <c r="K42" s="84">
        <f>120+418</f>
        <v>538</v>
      </c>
      <c r="L42" s="81"/>
      <c r="M42" s="84">
        <f>120+418</f>
        <v>538</v>
      </c>
      <c r="N42" s="81"/>
      <c r="O42" s="84">
        <f>120+418</f>
        <v>538</v>
      </c>
      <c r="P42" s="81"/>
    </row>
    <row r="43" spans="1:16" ht="13.5" thickBot="1">
      <c r="A43" s="20"/>
      <c r="B43" s="29"/>
      <c r="C43" s="29"/>
      <c r="D43" s="22" t="s">
        <v>22</v>
      </c>
      <c r="E43" s="76"/>
      <c r="F43" s="82">
        <f>SUM(E39:E42)</f>
        <v>1418</v>
      </c>
      <c r="G43" s="76"/>
      <c r="H43" s="82">
        <f>SUM(G39:G42)</f>
        <v>1468</v>
      </c>
      <c r="I43" s="76"/>
      <c r="J43" s="82">
        <f>SUM(I39:I42)</f>
        <v>1468</v>
      </c>
      <c r="K43" s="76"/>
      <c r="L43" s="82">
        <f>SUM(K39:K42)</f>
        <v>1468</v>
      </c>
      <c r="M43" s="76"/>
      <c r="N43" s="82">
        <f>SUM(M39:M42)</f>
        <v>1468</v>
      </c>
      <c r="O43" s="76"/>
      <c r="P43" s="82">
        <f>SUM(O39:O42)</f>
        <v>1468</v>
      </c>
    </row>
    <row r="44" spans="1:17" ht="13.5" thickBot="1">
      <c r="A44" s="30" t="s">
        <v>52</v>
      </c>
      <c r="B44" s="31" t="s">
        <v>53</v>
      </c>
      <c r="C44" s="31"/>
      <c r="D44" s="32"/>
      <c r="E44" s="85">
        <v>1100</v>
      </c>
      <c r="F44" s="86">
        <f>SUM(E44)</f>
        <v>1100</v>
      </c>
      <c r="G44" s="85">
        <v>1500</v>
      </c>
      <c r="H44" s="86">
        <f>SUM(G44)</f>
        <v>1500</v>
      </c>
      <c r="I44" s="85">
        <v>1650</v>
      </c>
      <c r="J44" s="86">
        <f>SUM(I44)</f>
        <v>1650</v>
      </c>
      <c r="K44" s="85">
        <v>1950</v>
      </c>
      <c r="L44" s="86">
        <f>SUM(K44)</f>
        <v>1950</v>
      </c>
      <c r="M44" s="85">
        <f>1950+890</f>
        <v>2840</v>
      </c>
      <c r="N44" s="86">
        <f>SUM(M44)</f>
        <v>2840</v>
      </c>
      <c r="O44" s="135">
        <v>2868</v>
      </c>
      <c r="P44" s="127">
        <f>SUM(O44)</f>
        <v>2868</v>
      </c>
      <c r="Q44" t="s">
        <v>163</v>
      </c>
    </row>
    <row r="45" spans="1:16" ht="13.5" thickBot="1">
      <c r="A45" s="30" t="s">
        <v>54</v>
      </c>
      <c r="B45" s="31" t="s">
        <v>55</v>
      </c>
      <c r="C45" s="31"/>
      <c r="D45" s="32"/>
      <c r="E45" s="85">
        <v>400</v>
      </c>
      <c r="F45" s="86">
        <f>SUM(E45)</f>
        <v>400</v>
      </c>
      <c r="G45" s="85">
        <v>400</v>
      </c>
      <c r="H45" s="86">
        <f>SUM(G45)</f>
        <v>400</v>
      </c>
      <c r="I45" s="85">
        <v>400</v>
      </c>
      <c r="J45" s="86">
        <f>SUM(I45)</f>
        <v>400</v>
      </c>
      <c r="K45" s="85">
        <v>400</v>
      </c>
      <c r="L45" s="86">
        <f>SUM(K45)</f>
        <v>400</v>
      </c>
      <c r="M45" s="85">
        <v>400</v>
      </c>
      <c r="N45" s="86">
        <f>SUM(M45)</f>
        <v>400</v>
      </c>
      <c r="O45" s="85">
        <v>400</v>
      </c>
      <c r="P45" s="86">
        <f>SUM(O45)</f>
        <v>400</v>
      </c>
    </row>
    <row r="46" spans="1:17" ht="12.75">
      <c r="A46" s="23" t="s">
        <v>56</v>
      </c>
      <c r="B46" s="26" t="s">
        <v>57</v>
      </c>
      <c r="C46" s="26">
        <v>1</v>
      </c>
      <c r="D46" s="17" t="s">
        <v>58</v>
      </c>
      <c r="E46" s="78">
        <v>650</v>
      </c>
      <c r="F46" s="79"/>
      <c r="G46" s="78">
        <v>700</v>
      </c>
      <c r="H46" s="79"/>
      <c r="I46" s="78">
        <f>713+92+50</f>
        <v>855</v>
      </c>
      <c r="J46" s="79"/>
      <c r="K46" s="78">
        <f>713+92+50</f>
        <v>855</v>
      </c>
      <c r="L46" s="79"/>
      <c r="M46" s="78">
        <f>753+92+50+20</f>
        <v>915</v>
      </c>
      <c r="N46" s="79"/>
      <c r="O46" s="78">
        <f>753+92+50+20</f>
        <v>915</v>
      </c>
      <c r="P46" s="79"/>
      <c r="Q46" t="s">
        <v>163</v>
      </c>
    </row>
    <row r="47" spans="1:17" ht="12.75">
      <c r="A47" s="23"/>
      <c r="B47" s="26"/>
      <c r="C47" s="26">
        <f>+C46+1</f>
        <v>2</v>
      </c>
      <c r="D47" s="17" t="s">
        <v>59</v>
      </c>
      <c r="E47" s="78">
        <v>1050</v>
      </c>
      <c r="F47" s="79"/>
      <c r="G47" s="78">
        <v>1050</v>
      </c>
      <c r="H47" s="79"/>
      <c r="I47" s="78">
        <v>1050</v>
      </c>
      <c r="J47" s="79"/>
      <c r="K47" s="78">
        <v>1050</v>
      </c>
      <c r="L47" s="79"/>
      <c r="M47" s="78">
        <v>1000</v>
      </c>
      <c r="N47" s="79"/>
      <c r="O47" s="78">
        <v>1000</v>
      </c>
      <c r="P47" s="79"/>
      <c r="Q47" t="s">
        <v>163</v>
      </c>
    </row>
    <row r="48" spans="1:17" ht="12.75">
      <c r="A48" s="23"/>
      <c r="B48" s="26"/>
      <c r="C48" s="26">
        <f>+C47+1</f>
        <v>3</v>
      </c>
      <c r="D48" s="17" t="s">
        <v>60</v>
      </c>
      <c r="E48" s="78">
        <v>550</v>
      </c>
      <c r="F48" s="79"/>
      <c r="G48" s="78">
        <v>550</v>
      </c>
      <c r="H48" s="79"/>
      <c r="I48" s="78">
        <v>550</v>
      </c>
      <c r="J48" s="79"/>
      <c r="K48" s="78">
        <v>550</v>
      </c>
      <c r="L48" s="79"/>
      <c r="M48" s="78">
        <f>450-20</f>
        <v>430</v>
      </c>
      <c r="N48" s="79"/>
      <c r="O48" s="78">
        <f>450-20</f>
        <v>430</v>
      </c>
      <c r="P48" s="79"/>
      <c r="Q48" t="s">
        <v>163</v>
      </c>
    </row>
    <row r="49" spans="1:17" ht="12.75">
      <c r="A49" s="23"/>
      <c r="B49" s="26"/>
      <c r="C49" s="26">
        <f>+C48+1</f>
        <v>4</v>
      </c>
      <c r="D49" s="17" t="s">
        <v>161</v>
      </c>
      <c r="E49" s="78"/>
      <c r="F49" s="79"/>
      <c r="G49" s="78"/>
      <c r="H49" s="79"/>
      <c r="I49" s="78"/>
      <c r="J49" s="79"/>
      <c r="K49" s="78"/>
      <c r="L49" s="79"/>
      <c r="M49" s="78">
        <v>215</v>
      </c>
      <c r="N49" s="79"/>
      <c r="O49" s="78">
        <v>215</v>
      </c>
      <c r="P49" s="79"/>
      <c r="Q49" t="s">
        <v>163</v>
      </c>
    </row>
    <row r="50" spans="1:17" ht="12.75">
      <c r="A50" s="23"/>
      <c r="B50" s="26"/>
      <c r="C50" s="26">
        <f>+C49+1</f>
        <v>5</v>
      </c>
      <c r="D50" s="14" t="s">
        <v>61</v>
      </c>
      <c r="E50" s="75">
        <v>762</v>
      </c>
      <c r="F50" s="79"/>
      <c r="G50" s="75">
        <v>762</v>
      </c>
      <c r="H50" s="79"/>
      <c r="I50" s="75">
        <v>762</v>
      </c>
      <c r="J50" s="79"/>
      <c r="K50" s="75">
        <v>762</v>
      </c>
      <c r="L50" s="79"/>
      <c r="M50" s="75">
        <v>900</v>
      </c>
      <c r="N50" s="79"/>
      <c r="O50" s="132">
        <v>850</v>
      </c>
      <c r="P50" s="79"/>
      <c r="Q50" t="s">
        <v>163</v>
      </c>
    </row>
    <row r="51" spans="1:16" ht="13.5" thickBot="1">
      <c r="A51" s="20"/>
      <c r="B51" s="29"/>
      <c r="C51" s="29"/>
      <c r="D51" s="22" t="s">
        <v>22</v>
      </c>
      <c r="E51" s="76"/>
      <c r="F51" s="82">
        <f>SUM(E46:E50)</f>
        <v>3012</v>
      </c>
      <c r="G51" s="76"/>
      <c r="H51" s="82">
        <f>SUM(G46:G50)</f>
        <v>3062</v>
      </c>
      <c r="I51" s="76"/>
      <c r="J51" s="82">
        <f>SUM(I46:I50)</f>
        <v>3217</v>
      </c>
      <c r="K51" s="76"/>
      <c r="L51" s="82">
        <f>SUM(K46:K50)</f>
        <v>3217</v>
      </c>
      <c r="M51" s="76"/>
      <c r="N51" s="82">
        <f>SUM(M46:M50)</f>
        <v>3460</v>
      </c>
      <c r="O51" s="76"/>
      <c r="P51" s="82">
        <f>SUM(O46:O50)</f>
        <v>3410</v>
      </c>
    </row>
    <row r="52" spans="1:16" ht="13.5" thickBot="1">
      <c r="A52" s="33" t="s">
        <v>62</v>
      </c>
      <c r="B52" s="31" t="s">
        <v>63</v>
      </c>
      <c r="C52" s="31"/>
      <c r="D52" s="32"/>
      <c r="E52" s="87">
        <v>610</v>
      </c>
      <c r="F52" s="86">
        <f>SUM(E52)</f>
        <v>610</v>
      </c>
      <c r="G52" s="87">
        <v>610</v>
      </c>
      <c r="H52" s="86">
        <f>SUM(G52)</f>
        <v>610</v>
      </c>
      <c r="I52" s="87">
        <v>610</v>
      </c>
      <c r="J52" s="86">
        <f>SUM(I52)</f>
        <v>610</v>
      </c>
      <c r="K52" s="87">
        <v>610</v>
      </c>
      <c r="L52" s="86">
        <f>SUM(K52)</f>
        <v>610</v>
      </c>
      <c r="M52" s="87">
        <v>580</v>
      </c>
      <c r="N52" s="86">
        <f>SUM(M52)</f>
        <v>580</v>
      </c>
      <c r="O52" s="144">
        <v>587</v>
      </c>
      <c r="P52" s="127">
        <f>SUM(O52)</f>
        <v>587</v>
      </c>
    </row>
    <row r="53" spans="1:16" ht="12.75">
      <c r="A53" s="34"/>
      <c r="B53" s="25" t="s">
        <v>64</v>
      </c>
      <c r="C53" s="25"/>
      <c r="D53" s="10"/>
      <c r="E53" s="83"/>
      <c r="F53" s="88">
        <f>SUM(F3:F52)</f>
        <v>64906.88</v>
      </c>
      <c r="G53" s="83"/>
      <c r="H53" s="88">
        <f>SUM(H3:H52)</f>
        <v>65499.88</v>
      </c>
      <c r="I53" s="83"/>
      <c r="J53" s="88">
        <f>SUM(J3:J52)</f>
        <v>67840.88</v>
      </c>
      <c r="K53" s="83"/>
      <c r="L53" s="88">
        <f>SUM(L3:L52)</f>
        <v>68655.88</v>
      </c>
      <c r="M53" s="83"/>
      <c r="N53" s="88">
        <f>SUM(N3:N52)</f>
        <v>68038.88</v>
      </c>
      <c r="O53" s="83"/>
      <c r="P53" s="35">
        <f>SUM(P3:P52)</f>
        <v>68212.88</v>
      </c>
    </row>
    <row r="54" spans="1:19" ht="13.5" thickBot="1">
      <c r="A54" s="36"/>
      <c r="B54" s="29" t="s">
        <v>65</v>
      </c>
      <c r="C54" s="29"/>
      <c r="D54" s="22"/>
      <c r="E54" s="76"/>
      <c r="F54" s="89">
        <f>+F53-610</f>
        <v>64296.88</v>
      </c>
      <c r="G54" s="76"/>
      <c r="H54" s="89">
        <f>+H53-610</f>
        <v>64889.88</v>
      </c>
      <c r="I54" s="76"/>
      <c r="J54" s="89">
        <f>+J53-610</f>
        <v>67230.88</v>
      </c>
      <c r="K54" s="76"/>
      <c r="L54" s="89">
        <f>+L53-610</f>
        <v>68045.88</v>
      </c>
      <c r="M54" s="76"/>
      <c r="N54" s="89">
        <f>+N53-580</f>
        <v>67458.88</v>
      </c>
      <c r="O54" s="76"/>
      <c r="P54" s="37">
        <f>+P53-587</f>
        <v>67625.88</v>
      </c>
      <c r="Q54" t="s">
        <v>66</v>
      </c>
      <c r="R54" s="38">
        <f>+N54-N38-1043</f>
        <v>61757.880000000005</v>
      </c>
      <c r="S54" s="38">
        <f>+P54-P38-843</f>
        <v>62124.880000000005</v>
      </c>
    </row>
    <row r="55" spans="1:16" ht="18.75" thickBot="1">
      <c r="A55" s="1" t="s">
        <v>67</v>
      </c>
      <c r="B55" s="39"/>
      <c r="C55" s="39"/>
      <c r="D55" s="39"/>
      <c r="E55" s="146" t="s">
        <v>133</v>
      </c>
      <c r="F55" s="147"/>
      <c r="G55" s="146" t="s">
        <v>142</v>
      </c>
      <c r="H55" s="147"/>
      <c r="I55" s="146" t="s">
        <v>152</v>
      </c>
      <c r="J55" s="147"/>
      <c r="K55" s="146" t="s">
        <v>153</v>
      </c>
      <c r="L55" s="147"/>
      <c r="M55" s="146" t="s">
        <v>158</v>
      </c>
      <c r="N55" s="147"/>
      <c r="O55" s="148" t="s">
        <v>164</v>
      </c>
      <c r="P55" s="149"/>
    </row>
    <row r="56" spans="1:16" ht="13.5" thickBot="1">
      <c r="A56" s="40" t="s">
        <v>1</v>
      </c>
      <c r="B56" s="41" t="s">
        <v>2</v>
      </c>
      <c r="C56" s="41" t="s">
        <v>3</v>
      </c>
      <c r="D56" s="42" t="s">
        <v>4</v>
      </c>
      <c r="E56" s="90"/>
      <c r="F56" s="91" t="s">
        <v>5</v>
      </c>
      <c r="G56" s="90"/>
      <c r="H56" s="91" t="s">
        <v>5</v>
      </c>
      <c r="I56" s="90"/>
      <c r="J56" s="91" t="s">
        <v>5</v>
      </c>
      <c r="K56" s="90"/>
      <c r="L56" s="91" t="s">
        <v>5</v>
      </c>
      <c r="M56" s="90"/>
      <c r="N56" s="91" t="s">
        <v>5</v>
      </c>
      <c r="O56" s="90"/>
      <c r="P56" s="91" t="s">
        <v>5</v>
      </c>
    </row>
    <row r="57" spans="1:16" ht="12.75">
      <c r="A57" s="8" t="s">
        <v>6</v>
      </c>
      <c r="B57" s="25" t="s">
        <v>68</v>
      </c>
      <c r="C57" s="25">
        <v>1</v>
      </c>
      <c r="D57" s="10" t="s">
        <v>69</v>
      </c>
      <c r="E57" s="92">
        <v>2627</v>
      </c>
      <c r="F57" s="93"/>
      <c r="G57" s="92">
        <v>2627</v>
      </c>
      <c r="H57" s="93"/>
      <c r="I57" s="92">
        <v>2627</v>
      </c>
      <c r="J57" s="93"/>
      <c r="K57" s="92">
        <v>2647</v>
      </c>
      <c r="L57" s="93"/>
      <c r="M57" s="92">
        <f>2647+30</f>
        <v>2677</v>
      </c>
      <c r="N57" s="93"/>
      <c r="O57" s="92">
        <f>2647+30</f>
        <v>2677</v>
      </c>
      <c r="P57" s="93"/>
    </row>
    <row r="58" spans="1:16" ht="12.75">
      <c r="A58" s="23"/>
      <c r="B58" s="26"/>
      <c r="C58" s="26">
        <v>2</v>
      </c>
      <c r="D58" s="17" t="s">
        <v>70</v>
      </c>
      <c r="E58" s="94">
        <v>250</v>
      </c>
      <c r="F58" s="95"/>
      <c r="G58" s="94">
        <v>250</v>
      </c>
      <c r="H58" s="95"/>
      <c r="I58" s="94">
        <v>250</v>
      </c>
      <c r="J58" s="95"/>
      <c r="K58" s="94">
        <v>250</v>
      </c>
      <c r="L58" s="95"/>
      <c r="M58" s="94">
        <v>250</v>
      </c>
      <c r="N58" s="95"/>
      <c r="O58" s="94">
        <v>250</v>
      </c>
      <c r="P58" s="95"/>
    </row>
    <row r="59" spans="1:16" ht="12.75">
      <c r="A59" s="12"/>
      <c r="B59" s="27"/>
      <c r="C59" s="26">
        <f aca="true" t="shared" si="2" ref="C59:C65">+C58+1</f>
        <v>3</v>
      </c>
      <c r="D59" s="14" t="s">
        <v>71</v>
      </c>
      <c r="E59" s="94">
        <v>542</v>
      </c>
      <c r="F59" s="95"/>
      <c r="G59" s="94">
        <v>542</v>
      </c>
      <c r="H59" s="95"/>
      <c r="I59" s="94">
        <v>542</v>
      </c>
      <c r="J59" s="95"/>
      <c r="K59" s="94">
        <v>542</v>
      </c>
      <c r="L59" s="95"/>
      <c r="M59" s="94">
        <v>542</v>
      </c>
      <c r="N59" s="95"/>
      <c r="O59" s="94">
        <v>542</v>
      </c>
      <c r="P59" s="95"/>
    </row>
    <row r="60" spans="1:16" ht="12.75">
      <c r="A60" s="12"/>
      <c r="B60" s="27"/>
      <c r="C60" s="26">
        <f t="shared" si="2"/>
        <v>4</v>
      </c>
      <c r="D60" s="14" t="s">
        <v>72</v>
      </c>
      <c r="E60" s="94">
        <v>81</v>
      </c>
      <c r="F60" s="96"/>
      <c r="G60" s="94">
        <v>81</v>
      </c>
      <c r="H60" s="96"/>
      <c r="I60" s="94">
        <v>81</v>
      </c>
      <c r="J60" s="96"/>
      <c r="K60" s="94">
        <v>81</v>
      </c>
      <c r="L60" s="96"/>
      <c r="M60" s="94">
        <v>81</v>
      </c>
      <c r="N60" s="96"/>
      <c r="O60" s="94">
        <v>81</v>
      </c>
      <c r="P60" s="96"/>
    </row>
    <row r="61" spans="1:16" ht="12.75">
      <c r="A61" s="12"/>
      <c r="B61" s="27"/>
      <c r="C61" s="26">
        <f t="shared" si="2"/>
        <v>5</v>
      </c>
      <c r="D61" s="14" t="s">
        <v>73</v>
      </c>
      <c r="E61" s="94">
        <v>0</v>
      </c>
      <c r="F61" s="96"/>
      <c r="G61" s="94">
        <v>0</v>
      </c>
      <c r="H61" s="96"/>
      <c r="I61" s="94">
        <v>925</v>
      </c>
      <c r="J61" s="96"/>
      <c r="K61" s="94">
        <v>925</v>
      </c>
      <c r="L61" s="96"/>
      <c r="M61" s="94">
        <v>925</v>
      </c>
      <c r="N61" s="96"/>
      <c r="O61" s="94">
        <v>925</v>
      </c>
      <c r="P61" s="96"/>
    </row>
    <row r="62" spans="1:16" ht="12.75">
      <c r="A62" s="12"/>
      <c r="B62" s="27"/>
      <c r="C62" s="26">
        <f t="shared" si="2"/>
        <v>6</v>
      </c>
      <c r="D62" s="14" t="s">
        <v>74</v>
      </c>
      <c r="E62" s="94">
        <v>306</v>
      </c>
      <c r="F62" s="95"/>
      <c r="G62" s="94">
        <v>306</v>
      </c>
      <c r="H62" s="95"/>
      <c r="I62" s="94">
        <v>306</v>
      </c>
      <c r="J62" s="95"/>
      <c r="K62" s="94">
        <v>306</v>
      </c>
      <c r="L62" s="95"/>
      <c r="M62" s="94">
        <v>306</v>
      </c>
      <c r="N62" s="95"/>
      <c r="O62" s="94">
        <v>306</v>
      </c>
      <c r="P62" s="95"/>
    </row>
    <row r="63" spans="1:16" ht="12.75">
      <c r="A63" s="12"/>
      <c r="B63" s="27"/>
      <c r="C63" s="26">
        <f t="shared" si="2"/>
        <v>7</v>
      </c>
      <c r="D63" s="14" t="s">
        <v>75</v>
      </c>
      <c r="E63" s="94">
        <v>377</v>
      </c>
      <c r="F63" s="95"/>
      <c r="G63" s="94">
        <v>377</v>
      </c>
      <c r="H63" s="95"/>
      <c r="I63" s="94">
        <f>377+9</f>
        <v>386</v>
      </c>
      <c r="J63" s="95"/>
      <c r="K63" s="94">
        <f>377+9+10+6+40</f>
        <v>442</v>
      </c>
      <c r="L63" s="95"/>
      <c r="M63" s="94">
        <f>377+9+10+6+40</f>
        <v>442</v>
      </c>
      <c r="N63" s="95"/>
      <c r="O63" s="94">
        <f>377+9+10+6+40</f>
        <v>442</v>
      </c>
      <c r="P63" s="95"/>
    </row>
    <row r="64" spans="1:16" ht="12.75">
      <c r="A64" s="12"/>
      <c r="B64" s="27"/>
      <c r="C64" s="26">
        <f t="shared" si="2"/>
        <v>8</v>
      </c>
      <c r="D64" s="14" t="s">
        <v>76</v>
      </c>
      <c r="E64" s="94">
        <v>789</v>
      </c>
      <c r="F64" s="95"/>
      <c r="G64" s="94">
        <v>789</v>
      </c>
      <c r="H64" s="95"/>
      <c r="I64" s="94">
        <v>789</v>
      </c>
      <c r="J64" s="95"/>
      <c r="K64" s="94">
        <v>789</v>
      </c>
      <c r="L64" s="95"/>
      <c r="M64" s="94">
        <f>789+28+42</f>
        <v>859</v>
      </c>
      <c r="N64" s="95"/>
      <c r="O64" s="94">
        <f>789+28+42</f>
        <v>859</v>
      </c>
      <c r="P64" s="95"/>
    </row>
    <row r="65" spans="1:16" ht="12.75">
      <c r="A65" s="15"/>
      <c r="B65" s="28"/>
      <c r="C65" s="26">
        <f t="shared" si="2"/>
        <v>9</v>
      </c>
      <c r="D65" s="19" t="s">
        <v>77</v>
      </c>
      <c r="E65" s="94">
        <v>181</v>
      </c>
      <c r="F65" s="95"/>
      <c r="G65" s="94">
        <v>181</v>
      </c>
      <c r="H65" s="95"/>
      <c r="I65" s="94">
        <v>181</v>
      </c>
      <c r="J65" s="95"/>
      <c r="K65" s="94">
        <v>181</v>
      </c>
      <c r="L65" s="95"/>
      <c r="M65" s="94">
        <v>181</v>
      </c>
      <c r="N65" s="95"/>
      <c r="O65" s="94">
        <v>181</v>
      </c>
      <c r="P65" s="95"/>
    </row>
    <row r="66" spans="1:16" ht="13.5" thickBot="1">
      <c r="A66" s="15"/>
      <c r="B66" s="28"/>
      <c r="C66" s="28"/>
      <c r="D66" s="19" t="s">
        <v>22</v>
      </c>
      <c r="E66" s="97"/>
      <c r="F66" s="98">
        <f>SUM(E57:E65)</f>
        <v>5153</v>
      </c>
      <c r="G66" s="97"/>
      <c r="H66" s="98">
        <f>SUM(G57:G65)</f>
        <v>5153</v>
      </c>
      <c r="I66" s="97"/>
      <c r="J66" s="98">
        <f>SUM(I57:I65)</f>
        <v>6087</v>
      </c>
      <c r="K66" s="97"/>
      <c r="L66" s="98">
        <f>SUM(K57:K65)</f>
        <v>6163</v>
      </c>
      <c r="M66" s="97"/>
      <c r="N66" s="98">
        <f>SUM(M57:M65)</f>
        <v>6263</v>
      </c>
      <c r="O66" s="97"/>
      <c r="P66" s="98">
        <f>SUM(O57:O65)</f>
        <v>6263</v>
      </c>
    </row>
    <row r="67" spans="1:16" ht="12.75">
      <c r="A67" s="8" t="s">
        <v>17</v>
      </c>
      <c r="B67" s="25" t="s">
        <v>78</v>
      </c>
      <c r="C67" s="25">
        <v>1</v>
      </c>
      <c r="D67" s="10" t="s">
        <v>79</v>
      </c>
      <c r="E67" s="92">
        <f>25398-22-1407+350</f>
        <v>24319</v>
      </c>
      <c r="F67" s="99"/>
      <c r="G67" s="92">
        <f>25398-22-1407+350</f>
        <v>24319</v>
      </c>
      <c r="H67" s="99"/>
      <c r="I67" s="92">
        <f>25398-22-1407+350</f>
        <v>24319</v>
      </c>
      <c r="J67" s="99"/>
      <c r="K67" s="92">
        <f>25398-22-1407+350+19+70+20</f>
        <v>24428</v>
      </c>
      <c r="L67" s="99"/>
      <c r="M67" s="92">
        <f>25398-22-1407+350+19+70+20+212+10-32</f>
        <v>24618</v>
      </c>
      <c r="N67" s="99"/>
      <c r="O67" s="134">
        <f>25398-22-1407+350+19+70+20+212+10-32-300-43</f>
        <v>24275</v>
      </c>
      <c r="P67" s="99"/>
    </row>
    <row r="68" spans="1:16" ht="12.75">
      <c r="A68" s="12"/>
      <c r="B68" s="27"/>
      <c r="C68" s="27">
        <v>2</v>
      </c>
      <c r="D68" s="14" t="s">
        <v>80</v>
      </c>
      <c r="E68" s="94">
        <v>820</v>
      </c>
      <c r="F68" s="100"/>
      <c r="G68" s="94">
        <v>820</v>
      </c>
      <c r="H68" s="100"/>
      <c r="I68" s="94">
        <v>845</v>
      </c>
      <c r="J68" s="100"/>
      <c r="K68" s="94">
        <f>845+62</f>
        <v>907</v>
      </c>
      <c r="L68" s="100"/>
      <c r="M68" s="94">
        <f>845+62+30</f>
        <v>937</v>
      </c>
      <c r="N68" s="100"/>
      <c r="O68" s="140">
        <v>970</v>
      </c>
      <c r="P68" s="100"/>
    </row>
    <row r="69" spans="1:16" ht="13.5" thickBot="1">
      <c r="A69" s="20"/>
      <c r="B69" s="29"/>
      <c r="C69" s="29"/>
      <c r="D69" s="22" t="s">
        <v>5</v>
      </c>
      <c r="E69" s="101"/>
      <c r="F69" s="102">
        <f>SUM(E67:E68)</f>
        <v>25139</v>
      </c>
      <c r="G69" s="101"/>
      <c r="H69" s="102">
        <f>SUM(G67:G68)</f>
        <v>25139</v>
      </c>
      <c r="I69" s="101"/>
      <c r="J69" s="102">
        <f>SUM(I67:I68)</f>
        <v>25164</v>
      </c>
      <c r="K69" s="101"/>
      <c r="L69" s="102">
        <f>SUM(K67:K68)</f>
        <v>25335</v>
      </c>
      <c r="M69" s="101"/>
      <c r="N69" s="102">
        <f>SUM(M67:M68)</f>
        <v>25555</v>
      </c>
      <c r="O69" s="101"/>
      <c r="P69" s="43">
        <f>SUM(O67:O68)</f>
        <v>25245</v>
      </c>
    </row>
    <row r="70" spans="1:16" ht="12.75">
      <c r="A70" s="23" t="s">
        <v>23</v>
      </c>
      <c r="B70" s="26" t="s">
        <v>81</v>
      </c>
      <c r="C70" s="26">
        <v>1</v>
      </c>
      <c r="D70" s="17" t="s">
        <v>82</v>
      </c>
      <c r="E70" s="92">
        <v>1000</v>
      </c>
      <c r="F70" s="93"/>
      <c r="G70" s="92">
        <v>1000</v>
      </c>
      <c r="H70" s="93"/>
      <c r="I70" s="92">
        <v>1000</v>
      </c>
      <c r="J70" s="93"/>
      <c r="K70" s="92">
        <v>1060</v>
      </c>
      <c r="L70" s="93"/>
      <c r="M70" s="92">
        <f>1060+24+7</f>
        <v>1091</v>
      </c>
      <c r="N70" s="93"/>
      <c r="O70" s="134">
        <f>1060+24+7+60</f>
        <v>1151</v>
      </c>
      <c r="P70" s="93"/>
    </row>
    <row r="71" spans="1:16" ht="12.75">
      <c r="A71" s="12"/>
      <c r="B71" s="27"/>
      <c r="C71" s="27">
        <v>2</v>
      </c>
      <c r="D71" s="14" t="s">
        <v>83</v>
      </c>
      <c r="E71" s="94">
        <f>750*0.95+0.5</f>
        <v>713</v>
      </c>
      <c r="F71" s="95"/>
      <c r="G71" s="94">
        <f>323+750*0.95+0.5</f>
        <v>1036</v>
      </c>
      <c r="H71" s="95"/>
      <c r="I71" s="94">
        <f>323+750*0.95+0.5</f>
        <v>1036</v>
      </c>
      <c r="J71" s="95"/>
      <c r="K71" s="94">
        <f>323+750*0.95+0.5+40</f>
        <v>1076</v>
      </c>
      <c r="L71" s="95"/>
      <c r="M71" s="94">
        <f>323+750*0.95+0.5+40</f>
        <v>1076</v>
      </c>
      <c r="N71" s="95"/>
      <c r="O71" s="94">
        <f>323+750*0.95+0.5+40</f>
        <v>1076</v>
      </c>
      <c r="P71" s="95"/>
    </row>
    <row r="72" spans="1:16" ht="12.75">
      <c r="A72" s="12"/>
      <c r="B72" s="27"/>
      <c r="C72" s="27">
        <v>3</v>
      </c>
      <c r="D72" s="14" t="s">
        <v>162</v>
      </c>
      <c r="E72" s="94">
        <v>360</v>
      </c>
      <c r="F72" s="95"/>
      <c r="G72" s="94">
        <v>360</v>
      </c>
      <c r="H72" s="95"/>
      <c r="I72" s="94">
        <v>360</v>
      </c>
      <c r="J72" s="95"/>
      <c r="K72" s="94">
        <v>360</v>
      </c>
      <c r="L72" s="95"/>
      <c r="M72" s="94">
        <v>360</v>
      </c>
      <c r="N72" s="95"/>
      <c r="O72" s="94">
        <v>360</v>
      </c>
      <c r="P72" s="95"/>
    </row>
    <row r="73" spans="1:16" ht="12.75">
      <c r="A73" s="12"/>
      <c r="B73" s="27"/>
      <c r="C73" s="27">
        <v>4</v>
      </c>
      <c r="D73" s="14" t="s">
        <v>132</v>
      </c>
      <c r="E73" s="94">
        <v>100</v>
      </c>
      <c r="F73" s="95"/>
      <c r="G73" s="94">
        <v>100</v>
      </c>
      <c r="H73" s="95"/>
      <c r="I73" s="94">
        <v>100</v>
      </c>
      <c r="J73" s="95"/>
      <c r="K73" s="94">
        <v>100</v>
      </c>
      <c r="L73" s="95"/>
      <c r="M73" s="94">
        <v>100</v>
      </c>
      <c r="N73" s="95"/>
      <c r="O73" s="94">
        <v>100</v>
      </c>
      <c r="P73" s="95"/>
    </row>
    <row r="74" spans="1:16" ht="12.75">
      <c r="A74" s="12"/>
      <c r="B74" s="27"/>
      <c r="C74" s="27">
        <v>5</v>
      </c>
      <c r="D74" s="14" t="s">
        <v>84</v>
      </c>
      <c r="E74" s="103">
        <v>320</v>
      </c>
      <c r="F74" s="95"/>
      <c r="G74" s="103">
        <v>320</v>
      </c>
      <c r="H74" s="95"/>
      <c r="I74" s="103">
        <v>320</v>
      </c>
      <c r="J74" s="95"/>
      <c r="K74" s="103">
        <v>320</v>
      </c>
      <c r="L74" s="95"/>
      <c r="M74" s="103">
        <v>360</v>
      </c>
      <c r="N74" s="95"/>
      <c r="O74" s="131">
        <v>340</v>
      </c>
      <c r="P74" s="95"/>
    </row>
    <row r="75" spans="1:16" ht="13.5" thickBot="1">
      <c r="A75" s="15"/>
      <c r="B75" s="28"/>
      <c r="C75" s="28"/>
      <c r="D75" s="19" t="s">
        <v>22</v>
      </c>
      <c r="E75" s="104"/>
      <c r="F75" s="105">
        <f>SUM(E70:E74)</f>
        <v>2493</v>
      </c>
      <c r="G75" s="104"/>
      <c r="H75" s="105">
        <f>SUM(G70:G74)</f>
        <v>2816</v>
      </c>
      <c r="I75" s="104"/>
      <c r="J75" s="105">
        <f>SUM(I70:I74)</f>
        <v>2816</v>
      </c>
      <c r="K75" s="104"/>
      <c r="L75" s="105">
        <f>SUM(K70:K74)</f>
        <v>2916</v>
      </c>
      <c r="M75" s="104"/>
      <c r="N75" s="105">
        <f>SUM(M70:M74)</f>
        <v>2987</v>
      </c>
      <c r="O75" s="104"/>
      <c r="P75" s="138">
        <f>SUM(O70:O74)</f>
        <v>3027</v>
      </c>
    </row>
    <row r="76" spans="1:16" ht="12.75">
      <c r="A76" s="8" t="s">
        <v>39</v>
      </c>
      <c r="B76" s="45" t="s">
        <v>85</v>
      </c>
      <c r="C76" s="25">
        <v>1</v>
      </c>
      <c r="D76" s="10" t="s">
        <v>86</v>
      </c>
      <c r="E76" s="106">
        <v>29500</v>
      </c>
      <c r="F76" s="93"/>
      <c r="G76" s="106">
        <f>29540-2911</f>
        <v>26629</v>
      </c>
      <c r="H76" s="93"/>
      <c r="I76" s="106">
        <f>26100+555</f>
        <v>26655</v>
      </c>
      <c r="J76" s="93"/>
      <c r="K76" s="106">
        <f>25950+875</f>
        <v>26825</v>
      </c>
      <c r="L76" s="93"/>
      <c r="M76" s="106">
        <f>25950+30+905</f>
        <v>26885</v>
      </c>
      <c r="N76" s="93"/>
      <c r="O76" s="133">
        <f>25000+30+1022+2298</f>
        <v>28350</v>
      </c>
      <c r="P76" s="93"/>
    </row>
    <row r="77" spans="1:16" ht="12.75">
      <c r="A77" s="15"/>
      <c r="B77" s="28"/>
      <c r="C77" s="26">
        <f aca="true" t="shared" si="3" ref="C77:C94">+C76+1</f>
        <v>2</v>
      </c>
      <c r="D77" s="14" t="s">
        <v>87</v>
      </c>
      <c r="E77" s="103">
        <v>100</v>
      </c>
      <c r="F77" s="107"/>
      <c r="G77" s="103">
        <v>100</v>
      </c>
      <c r="H77" s="107"/>
      <c r="I77" s="103">
        <v>100</v>
      </c>
      <c r="J77" s="107"/>
      <c r="K77" s="103">
        <v>100</v>
      </c>
      <c r="L77" s="107"/>
      <c r="M77" s="103">
        <v>100</v>
      </c>
      <c r="N77" s="107"/>
      <c r="O77" s="131">
        <v>150</v>
      </c>
      <c r="P77" s="107"/>
    </row>
    <row r="78" spans="1:16" ht="12.75">
      <c r="A78" s="15"/>
      <c r="B78" s="28"/>
      <c r="C78" s="26">
        <f t="shared" si="3"/>
        <v>3</v>
      </c>
      <c r="D78" s="14" t="s">
        <v>88</v>
      </c>
      <c r="E78" s="103">
        <v>6255</v>
      </c>
      <c r="F78" s="107"/>
      <c r="G78" s="103">
        <v>6255</v>
      </c>
      <c r="H78" s="107"/>
      <c r="I78" s="103">
        <v>6255</v>
      </c>
      <c r="J78" s="107"/>
      <c r="K78" s="103">
        <v>6253</v>
      </c>
      <c r="L78" s="107"/>
      <c r="M78" s="103">
        <v>6263</v>
      </c>
      <c r="N78" s="107"/>
      <c r="O78" s="103">
        <v>6263</v>
      </c>
      <c r="P78" s="107"/>
    </row>
    <row r="79" spans="1:16" ht="12.75">
      <c r="A79" s="15"/>
      <c r="B79" s="28"/>
      <c r="C79" s="26">
        <f t="shared" si="3"/>
        <v>4</v>
      </c>
      <c r="D79" s="14" t="s">
        <v>89</v>
      </c>
      <c r="E79" s="103">
        <f>6530-3500</f>
        <v>3030</v>
      </c>
      <c r="F79" s="107"/>
      <c r="G79" s="103">
        <f>6530-3500</f>
        <v>3030</v>
      </c>
      <c r="H79" s="107"/>
      <c r="I79" s="103">
        <f>6530-3500</f>
        <v>3030</v>
      </c>
      <c r="J79" s="107"/>
      <c r="K79" s="103">
        <v>3038</v>
      </c>
      <c r="L79" s="107"/>
      <c r="M79" s="103">
        <v>3038</v>
      </c>
      <c r="N79" s="107"/>
      <c r="O79" s="103">
        <v>3038</v>
      </c>
      <c r="P79" s="107"/>
    </row>
    <row r="80" spans="1:16" ht="12.75">
      <c r="A80" s="15"/>
      <c r="B80" s="28"/>
      <c r="C80" s="26">
        <f t="shared" si="3"/>
        <v>5</v>
      </c>
      <c r="D80" s="14" t="s">
        <v>144</v>
      </c>
      <c r="E80" s="103">
        <v>400</v>
      </c>
      <c r="F80" s="107"/>
      <c r="G80" s="103">
        <v>400</v>
      </c>
      <c r="H80" s="107"/>
      <c r="I80" s="103">
        <f>583</f>
        <v>583</v>
      </c>
      <c r="J80" s="107"/>
      <c r="K80" s="103">
        <v>571</v>
      </c>
      <c r="L80" s="107"/>
      <c r="M80" s="103">
        <v>571</v>
      </c>
      <c r="N80" s="107"/>
      <c r="O80" s="103">
        <v>571</v>
      </c>
      <c r="P80" s="107"/>
    </row>
    <row r="81" spans="1:16" ht="12.75">
      <c r="A81" s="15"/>
      <c r="B81" s="28"/>
      <c r="C81" s="26">
        <f t="shared" si="3"/>
        <v>6</v>
      </c>
      <c r="D81" s="14" t="s">
        <v>149</v>
      </c>
      <c r="E81" s="103">
        <v>500</v>
      </c>
      <c r="F81" s="107"/>
      <c r="G81" s="103">
        <v>500</v>
      </c>
      <c r="H81" s="107"/>
      <c r="I81" s="103">
        <f>231+439</f>
        <v>670</v>
      </c>
      <c r="J81" s="107"/>
      <c r="K81" s="103">
        <f>231+439</f>
        <v>670</v>
      </c>
      <c r="L81" s="107"/>
      <c r="M81" s="103">
        <f>221+439</f>
        <v>660</v>
      </c>
      <c r="N81" s="107"/>
      <c r="O81" s="103">
        <f>221+439</f>
        <v>660</v>
      </c>
      <c r="P81" s="107"/>
    </row>
    <row r="82" spans="1:16" ht="12.75">
      <c r="A82" s="15"/>
      <c r="B82" s="28"/>
      <c r="C82" s="26">
        <f t="shared" si="3"/>
        <v>7</v>
      </c>
      <c r="D82" s="14" t="s">
        <v>150</v>
      </c>
      <c r="E82" s="104"/>
      <c r="F82" s="107"/>
      <c r="G82" s="104"/>
      <c r="H82" s="107"/>
      <c r="I82" s="104">
        <v>500</v>
      </c>
      <c r="J82" s="107"/>
      <c r="K82" s="104">
        <v>500</v>
      </c>
      <c r="L82" s="107"/>
      <c r="M82" s="104">
        <v>500</v>
      </c>
      <c r="N82" s="107"/>
      <c r="O82" s="44">
        <v>0</v>
      </c>
      <c r="P82" s="107"/>
    </row>
    <row r="83" spans="1:17" ht="12.75">
      <c r="A83" s="15"/>
      <c r="B83" s="28"/>
      <c r="C83" s="26">
        <f t="shared" si="3"/>
        <v>8</v>
      </c>
      <c r="D83" s="14" t="s">
        <v>90</v>
      </c>
      <c r="E83" s="104">
        <f>2305</f>
        <v>2305</v>
      </c>
      <c r="F83" s="107"/>
      <c r="G83" s="104">
        <v>1930</v>
      </c>
      <c r="H83" s="107"/>
      <c r="I83" s="104">
        <v>2314</v>
      </c>
      <c r="J83" s="107"/>
      <c r="K83" s="104">
        <v>2314</v>
      </c>
      <c r="L83" s="107"/>
      <c r="M83" s="104">
        <v>2313</v>
      </c>
      <c r="N83" s="107"/>
      <c r="O83" s="104">
        <v>2313</v>
      </c>
      <c r="P83" s="107"/>
      <c r="Q83">
        <f>3218-2313</f>
        <v>905</v>
      </c>
    </row>
    <row r="84" spans="1:16" ht="12.75">
      <c r="A84" s="15"/>
      <c r="B84" s="28"/>
      <c r="C84" s="26">
        <f t="shared" si="3"/>
        <v>9</v>
      </c>
      <c r="D84" s="14" t="s">
        <v>129</v>
      </c>
      <c r="E84" s="104"/>
      <c r="F84" s="107"/>
      <c r="G84" s="104">
        <v>280</v>
      </c>
      <c r="H84" s="107"/>
      <c r="I84" s="104">
        <v>280</v>
      </c>
      <c r="J84" s="107"/>
      <c r="K84" s="104">
        <v>30</v>
      </c>
      <c r="L84" s="107"/>
      <c r="M84" s="104">
        <v>30</v>
      </c>
      <c r="N84" s="107"/>
      <c r="O84" s="104">
        <v>30</v>
      </c>
      <c r="P84" s="107"/>
    </row>
    <row r="85" spans="1:16" ht="12.75">
      <c r="A85" s="15"/>
      <c r="B85" s="28"/>
      <c r="C85" s="26">
        <f t="shared" si="3"/>
        <v>10</v>
      </c>
      <c r="D85" s="14" t="s">
        <v>130</v>
      </c>
      <c r="E85" s="104"/>
      <c r="F85" s="107"/>
      <c r="G85" s="104">
        <v>150</v>
      </c>
      <c r="H85" s="107"/>
      <c r="I85" s="104">
        <v>100</v>
      </c>
      <c r="J85" s="107"/>
      <c r="K85" s="104">
        <v>42</v>
      </c>
      <c r="L85" s="107"/>
      <c r="M85" s="104">
        <v>342</v>
      </c>
      <c r="N85" s="107"/>
      <c r="O85" s="104">
        <v>342</v>
      </c>
      <c r="P85" s="107"/>
    </row>
    <row r="86" spans="1:16" ht="12.75">
      <c r="A86" s="15"/>
      <c r="B86" s="28"/>
      <c r="C86" s="26">
        <f t="shared" si="3"/>
        <v>11</v>
      </c>
      <c r="D86" s="14" t="s">
        <v>131</v>
      </c>
      <c r="E86" s="104"/>
      <c r="F86" s="107"/>
      <c r="G86" s="104">
        <v>100</v>
      </c>
      <c r="H86" s="107"/>
      <c r="I86" s="104">
        <v>0</v>
      </c>
      <c r="J86" s="107"/>
      <c r="K86" s="104">
        <v>0</v>
      </c>
      <c r="L86" s="107"/>
      <c r="M86" s="104">
        <v>80</v>
      </c>
      <c r="N86" s="107"/>
      <c r="O86" s="44">
        <v>70</v>
      </c>
      <c r="P86" s="107"/>
    </row>
    <row r="87" spans="1:16" ht="12.75">
      <c r="A87" s="15"/>
      <c r="B87" s="28"/>
      <c r="C87" s="26">
        <f t="shared" si="3"/>
        <v>12</v>
      </c>
      <c r="D87" s="14" t="s">
        <v>139</v>
      </c>
      <c r="E87" s="104"/>
      <c r="F87" s="107"/>
      <c r="G87" s="104">
        <v>1273</v>
      </c>
      <c r="H87" s="107"/>
      <c r="I87" s="104">
        <v>1160</v>
      </c>
      <c r="J87" s="107"/>
      <c r="K87" s="104">
        <v>1160</v>
      </c>
      <c r="L87" s="107"/>
      <c r="M87" s="104">
        <v>1160</v>
      </c>
      <c r="N87" s="107"/>
      <c r="O87" s="104">
        <v>1160</v>
      </c>
      <c r="P87" s="107"/>
    </row>
    <row r="88" spans="1:16" ht="12.75">
      <c r="A88" s="15"/>
      <c r="B88" s="28"/>
      <c r="C88" s="26">
        <f t="shared" si="3"/>
        <v>13</v>
      </c>
      <c r="D88" s="14" t="s">
        <v>140</v>
      </c>
      <c r="E88" s="104"/>
      <c r="F88" s="107"/>
      <c r="G88" s="104">
        <v>150</v>
      </c>
      <c r="H88" s="107"/>
      <c r="I88" s="104">
        <v>198</v>
      </c>
      <c r="J88" s="107"/>
      <c r="K88" s="104">
        <v>198</v>
      </c>
      <c r="L88" s="107"/>
      <c r="M88" s="104">
        <v>198</v>
      </c>
      <c r="N88" s="107"/>
      <c r="O88" s="104">
        <v>198</v>
      </c>
      <c r="P88" s="107"/>
    </row>
    <row r="89" spans="1:16" ht="12.75">
      <c r="A89" s="15"/>
      <c r="B89" s="28"/>
      <c r="C89" s="26">
        <f t="shared" si="3"/>
        <v>14</v>
      </c>
      <c r="D89" s="14" t="s">
        <v>141</v>
      </c>
      <c r="E89" s="104"/>
      <c r="F89" s="107"/>
      <c r="G89" s="104"/>
      <c r="H89" s="107"/>
      <c r="I89" s="104">
        <v>144</v>
      </c>
      <c r="J89" s="107"/>
      <c r="K89" s="104">
        <v>143</v>
      </c>
      <c r="L89" s="107"/>
      <c r="M89" s="104">
        <v>143</v>
      </c>
      <c r="N89" s="107"/>
      <c r="O89" s="104">
        <v>143</v>
      </c>
      <c r="P89" s="107"/>
    </row>
    <row r="90" spans="1:17" ht="12.75">
      <c r="A90" s="15"/>
      <c r="B90" s="28"/>
      <c r="C90" s="26">
        <f t="shared" si="3"/>
        <v>15</v>
      </c>
      <c r="D90" s="14" t="s">
        <v>145</v>
      </c>
      <c r="E90" s="104"/>
      <c r="F90" s="107"/>
      <c r="G90" s="104"/>
      <c r="H90" s="107"/>
      <c r="I90" s="104">
        <v>330</v>
      </c>
      <c r="J90" s="107"/>
      <c r="K90" s="104">
        <v>400</v>
      </c>
      <c r="L90" s="107"/>
      <c r="M90" s="104">
        <v>439</v>
      </c>
      <c r="N90" s="107"/>
      <c r="O90" s="104">
        <v>439</v>
      </c>
      <c r="P90" s="107"/>
      <c r="Q90">
        <f>439+571+30</f>
        <v>1040</v>
      </c>
    </row>
    <row r="91" spans="1:16" ht="12.75">
      <c r="A91" s="15"/>
      <c r="B91" s="28"/>
      <c r="C91" s="26">
        <f t="shared" si="3"/>
        <v>16</v>
      </c>
      <c r="D91" s="14" t="s">
        <v>156</v>
      </c>
      <c r="E91" s="104"/>
      <c r="F91" s="107"/>
      <c r="G91" s="104"/>
      <c r="H91" s="107"/>
      <c r="I91" s="104"/>
      <c r="J91" s="107"/>
      <c r="K91" s="104">
        <v>116</v>
      </c>
      <c r="L91" s="107"/>
      <c r="M91" s="104">
        <v>88</v>
      </c>
      <c r="N91" s="107"/>
      <c r="O91" s="104">
        <v>88</v>
      </c>
      <c r="P91" s="107"/>
    </row>
    <row r="92" spans="1:16" ht="12.75">
      <c r="A92" s="15"/>
      <c r="B92" s="28"/>
      <c r="C92" s="26">
        <f t="shared" si="3"/>
        <v>17</v>
      </c>
      <c r="D92" s="14" t="s">
        <v>159</v>
      </c>
      <c r="E92" s="104"/>
      <c r="F92" s="107"/>
      <c r="G92" s="104"/>
      <c r="H92" s="107"/>
      <c r="I92" s="104"/>
      <c r="J92" s="107"/>
      <c r="K92" s="104"/>
      <c r="L92" s="107"/>
      <c r="M92" s="104">
        <f>269+36</f>
        <v>305</v>
      </c>
      <c r="N92" s="107"/>
      <c r="O92" s="104">
        <f>269+36</f>
        <v>305</v>
      </c>
      <c r="P92" s="107"/>
    </row>
    <row r="93" spans="1:16" ht="12.75">
      <c r="A93" s="15"/>
      <c r="B93" s="28"/>
      <c r="C93" s="26">
        <f t="shared" si="3"/>
        <v>18</v>
      </c>
      <c r="D93" s="14" t="s">
        <v>160</v>
      </c>
      <c r="E93" s="104"/>
      <c r="F93" s="107"/>
      <c r="G93" s="104"/>
      <c r="H93" s="107"/>
      <c r="I93" s="104"/>
      <c r="J93" s="107"/>
      <c r="K93" s="104"/>
      <c r="L93" s="107"/>
      <c r="M93" s="104">
        <v>260</v>
      </c>
      <c r="N93" s="107"/>
      <c r="O93" s="44">
        <v>253</v>
      </c>
      <c r="P93" s="107"/>
    </row>
    <row r="94" spans="1:16" ht="12.75">
      <c r="A94" s="15"/>
      <c r="B94" s="28"/>
      <c r="C94" s="26">
        <f t="shared" si="3"/>
        <v>19</v>
      </c>
      <c r="D94" s="14" t="s">
        <v>91</v>
      </c>
      <c r="E94" s="104">
        <v>700</v>
      </c>
      <c r="F94" s="107"/>
      <c r="G94" s="104">
        <v>170</v>
      </c>
      <c r="H94" s="107"/>
      <c r="I94" s="104">
        <v>200</v>
      </c>
      <c r="J94" s="107"/>
      <c r="K94" s="104">
        <f>211+311-42</f>
        <v>480</v>
      </c>
      <c r="L94" s="107"/>
      <c r="M94" s="104">
        <f>64+98+74+32</f>
        <v>268</v>
      </c>
      <c r="N94" s="107"/>
      <c r="O94" s="44">
        <f>64+105+74+11+111+33</f>
        <v>398</v>
      </c>
      <c r="P94" s="107"/>
    </row>
    <row r="95" spans="1:16" ht="13.5" thickBot="1">
      <c r="A95" s="20"/>
      <c r="B95" s="29"/>
      <c r="C95" s="26"/>
      <c r="D95" s="46" t="s">
        <v>22</v>
      </c>
      <c r="E95" s="97"/>
      <c r="F95" s="108">
        <f>SUM(E76:E94)</f>
        <v>42790</v>
      </c>
      <c r="G95" s="97"/>
      <c r="H95" s="108">
        <f>SUM(G76:G94)</f>
        <v>40967</v>
      </c>
      <c r="I95" s="97"/>
      <c r="J95" s="108">
        <f>SUM(I76:I94)</f>
        <v>42519</v>
      </c>
      <c r="K95" s="97"/>
      <c r="L95" s="108">
        <f>SUM(K76:K94)</f>
        <v>42840</v>
      </c>
      <c r="M95" s="97"/>
      <c r="N95" s="108">
        <f>SUM(M76:M94)</f>
        <v>43643</v>
      </c>
      <c r="O95" s="97"/>
      <c r="P95" s="47">
        <f>SUM(O76:O94)</f>
        <v>44771</v>
      </c>
    </row>
    <row r="96" spans="1:16" ht="12.75">
      <c r="A96" s="8" t="s">
        <v>46</v>
      </c>
      <c r="B96" s="25" t="s">
        <v>92</v>
      </c>
      <c r="C96" s="25">
        <v>1</v>
      </c>
      <c r="D96" s="48" t="s">
        <v>93</v>
      </c>
      <c r="E96" s="109">
        <v>150</v>
      </c>
      <c r="F96" s="110"/>
      <c r="G96" s="109">
        <v>150</v>
      </c>
      <c r="H96" s="110"/>
      <c r="I96" s="109">
        <v>125</v>
      </c>
      <c r="J96" s="110"/>
      <c r="K96" s="109">
        <v>125</v>
      </c>
      <c r="L96" s="110"/>
      <c r="M96" s="109">
        <v>125</v>
      </c>
      <c r="N96" s="110"/>
      <c r="O96" s="142">
        <v>181</v>
      </c>
      <c r="P96" s="110"/>
    </row>
    <row r="97" spans="1:16" ht="12.75">
      <c r="A97" s="12"/>
      <c r="B97" s="27"/>
      <c r="C97" s="27">
        <f aca="true" t="shared" si="4" ref="C97:C106">+C96+1</f>
        <v>2</v>
      </c>
      <c r="D97" s="14" t="s">
        <v>94</v>
      </c>
      <c r="E97" s="103">
        <v>400</v>
      </c>
      <c r="F97" s="95"/>
      <c r="G97" s="103">
        <v>400</v>
      </c>
      <c r="H97" s="95"/>
      <c r="I97" s="103">
        <v>300</v>
      </c>
      <c r="J97" s="95"/>
      <c r="K97" s="103">
        <v>300</v>
      </c>
      <c r="L97" s="95"/>
      <c r="M97" s="103">
        <v>350</v>
      </c>
      <c r="N97" s="95"/>
      <c r="O97" s="131">
        <v>405</v>
      </c>
      <c r="P97" s="95"/>
    </row>
    <row r="98" spans="1:16" ht="12.75">
      <c r="A98" s="12"/>
      <c r="B98" s="27"/>
      <c r="C98" s="27">
        <f t="shared" si="4"/>
        <v>3</v>
      </c>
      <c r="D98" s="14" t="s">
        <v>147</v>
      </c>
      <c r="E98" s="103"/>
      <c r="F98" s="95"/>
      <c r="G98" s="103"/>
      <c r="H98" s="95"/>
      <c r="I98" s="103">
        <v>400</v>
      </c>
      <c r="J98" s="95"/>
      <c r="K98" s="103">
        <v>400</v>
      </c>
      <c r="L98" s="95"/>
      <c r="M98" s="103">
        <v>400</v>
      </c>
      <c r="N98" s="95"/>
      <c r="O98" s="103">
        <v>400</v>
      </c>
      <c r="P98" s="95"/>
    </row>
    <row r="99" spans="1:16" ht="12.75">
      <c r="A99" s="12"/>
      <c r="B99" s="27"/>
      <c r="C99" s="27">
        <f t="shared" si="4"/>
        <v>4</v>
      </c>
      <c r="D99" s="14" t="s">
        <v>165</v>
      </c>
      <c r="E99" s="103"/>
      <c r="F99" s="95"/>
      <c r="G99" s="103"/>
      <c r="H99" s="95"/>
      <c r="I99" s="103"/>
      <c r="J99" s="95"/>
      <c r="K99" s="103"/>
      <c r="L99" s="95"/>
      <c r="M99" s="103"/>
      <c r="N99" s="95"/>
      <c r="O99" s="131">
        <v>600</v>
      </c>
      <c r="P99" s="95"/>
    </row>
    <row r="100" spans="1:16" ht="12.75">
      <c r="A100" s="12"/>
      <c r="B100" s="27"/>
      <c r="C100" s="27">
        <f t="shared" si="4"/>
        <v>5</v>
      </c>
      <c r="D100" s="14" t="s">
        <v>95</v>
      </c>
      <c r="E100" s="103">
        <v>100</v>
      </c>
      <c r="F100" s="95"/>
      <c r="G100" s="103">
        <v>100</v>
      </c>
      <c r="H100" s="95"/>
      <c r="I100" s="103">
        <v>100</v>
      </c>
      <c r="J100" s="95"/>
      <c r="K100" s="103">
        <v>100</v>
      </c>
      <c r="L100" s="95"/>
      <c r="M100" s="103">
        <v>100</v>
      </c>
      <c r="N100" s="95"/>
      <c r="O100" s="131">
        <v>50</v>
      </c>
      <c r="P100" s="95"/>
    </row>
    <row r="101" spans="1:16" ht="12.75">
      <c r="A101" s="12"/>
      <c r="B101" s="27"/>
      <c r="C101" s="27">
        <f t="shared" si="4"/>
        <v>6</v>
      </c>
      <c r="D101" s="14" t="s">
        <v>96</v>
      </c>
      <c r="E101" s="103">
        <v>360</v>
      </c>
      <c r="F101" s="95"/>
      <c r="G101" s="103">
        <v>360</v>
      </c>
      <c r="H101" s="95"/>
      <c r="I101" s="103">
        <v>300</v>
      </c>
      <c r="J101" s="95"/>
      <c r="K101" s="103">
        <v>300</v>
      </c>
      <c r="L101" s="95"/>
      <c r="M101" s="103">
        <v>380</v>
      </c>
      <c r="N101" s="95"/>
      <c r="O101" s="131">
        <v>405</v>
      </c>
      <c r="P101" s="95"/>
    </row>
    <row r="102" spans="1:16" ht="12.75">
      <c r="A102" s="12"/>
      <c r="B102" s="27"/>
      <c r="C102" s="27">
        <f t="shared" si="4"/>
        <v>7</v>
      </c>
      <c r="D102" s="14" t="s">
        <v>97</v>
      </c>
      <c r="E102" s="103">
        <v>5290</v>
      </c>
      <c r="F102" s="95"/>
      <c r="G102" s="103">
        <v>5290</v>
      </c>
      <c r="H102" s="95"/>
      <c r="I102" s="103">
        <v>5290</v>
      </c>
      <c r="J102" s="95"/>
      <c r="K102" s="103">
        <v>5290</v>
      </c>
      <c r="L102" s="95"/>
      <c r="M102" s="103">
        <v>5450</v>
      </c>
      <c r="N102" s="95"/>
      <c r="O102" s="103">
        <v>5450</v>
      </c>
      <c r="P102" s="95"/>
    </row>
    <row r="103" spans="1:16" ht="12.75">
      <c r="A103" s="12"/>
      <c r="B103" s="27"/>
      <c r="C103" s="27">
        <f t="shared" si="4"/>
        <v>8</v>
      </c>
      <c r="D103" s="14" t="s">
        <v>98</v>
      </c>
      <c r="E103" s="103">
        <v>1350</v>
      </c>
      <c r="F103" s="95"/>
      <c r="G103" s="103">
        <v>1450</v>
      </c>
      <c r="H103" s="95"/>
      <c r="I103" s="103">
        <v>1500</v>
      </c>
      <c r="J103" s="95"/>
      <c r="K103" s="103">
        <v>1632</v>
      </c>
      <c r="L103" s="95"/>
      <c r="M103" s="103">
        <v>2060</v>
      </c>
      <c r="N103" s="95"/>
      <c r="O103" s="131">
        <v>2115</v>
      </c>
      <c r="P103" s="95"/>
    </row>
    <row r="104" spans="1:16" ht="12.75">
      <c r="A104" s="12"/>
      <c r="B104" s="27"/>
      <c r="C104" s="27">
        <f t="shared" si="4"/>
        <v>9</v>
      </c>
      <c r="D104" s="14" t="s">
        <v>99</v>
      </c>
      <c r="E104" s="103">
        <v>1535</v>
      </c>
      <c r="F104" s="95"/>
      <c r="G104" s="103">
        <v>1535</v>
      </c>
      <c r="H104" s="95"/>
      <c r="I104" s="103">
        <v>1535</v>
      </c>
      <c r="J104" s="95"/>
      <c r="K104" s="103">
        <v>1535</v>
      </c>
      <c r="L104" s="95"/>
      <c r="M104" s="103">
        <v>1625</v>
      </c>
      <c r="N104" s="95"/>
      <c r="O104" s="103">
        <v>1625</v>
      </c>
      <c r="P104" s="95"/>
    </row>
    <row r="105" spans="1:16" ht="12.75">
      <c r="A105" s="12"/>
      <c r="B105" s="27"/>
      <c r="C105" s="27">
        <f t="shared" si="4"/>
        <v>10</v>
      </c>
      <c r="D105" s="14" t="s">
        <v>100</v>
      </c>
      <c r="E105" s="94">
        <v>542</v>
      </c>
      <c r="F105" s="95"/>
      <c r="G105" s="94">
        <v>542</v>
      </c>
      <c r="H105" s="95"/>
      <c r="I105" s="94">
        <v>542</v>
      </c>
      <c r="J105" s="95"/>
      <c r="K105" s="94">
        <v>542</v>
      </c>
      <c r="L105" s="95"/>
      <c r="M105" s="94">
        <v>542</v>
      </c>
      <c r="N105" s="95"/>
      <c r="O105" s="140">
        <v>645</v>
      </c>
      <c r="P105" s="95"/>
    </row>
    <row r="106" spans="1:16" ht="12.75">
      <c r="A106" s="15"/>
      <c r="B106" s="28"/>
      <c r="C106" s="27">
        <f t="shared" si="4"/>
        <v>11</v>
      </c>
      <c r="D106" s="19" t="s">
        <v>101</v>
      </c>
      <c r="E106" s="111">
        <v>60</v>
      </c>
      <c r="F106" s="107"/>
      <c r="G106" s="111">
        <v>60</v>
      </c>
      <c r="H106" s="107"/>
      <c r="I106" s="111">
        <v>60</v>
      </c>
      <c r="J106" s="107"/>
      <c r="K106" s="111">
        <v>160</v>
      </c>
      <c r="L106" s="107"/>
      <c r="M106" s="111">
        <v>140</v>
      </c>
      <c r="N106" s="107"/>
      <c r="O106" s="111">
        <v>140</v>
      </c>
      <c r="P106" s="107"/>
    </row>
    <row r="107" spans="1:16" ht="13.5" thickBot="1">
      <c r="A107" s="20"/>
      <c r="B107" s="29"/>
      <c r="C107" s="29"/>
      <c r="D107" s="22" t="s">
        <v>22</v>
      </c>
      <c r="E107" s="97"/>
      <c r="F107" s="102">
        <f>SUM(E96:E106)</f>
        <v>9787</v>
      </c>
      <c r="G107" s="97"/>
      <c r="H107" s="102">
        <f>SUM(G96:G106)</f>
        <v>9887</v>
      </c>
      <c r="I107" s="97"/>
      <c r="J107" s="102">
        <f>SUM(I96:I106)</f>
        <v>10152</v>
      </c>
      <c r="K107" s="97"/>
      <c r="L107" s="102">
        <f>SUM(K96:K106)</f>
        <v>10384</v>
      </c>
      <c r="M107" s="97"/>
      <c r="N107" s="102">
        <f>SUM(M96:M106)</f>
        <v>11172</v>
      </c>
      <c r="O107" s="97"/>
      <c r="P107" s="43">
        <f>SUM(O96:O106)</f>
        <v>12016</v>
      </c>
    </row>
    <row r="108" spans="1:16" ht="12.75">
      <c r="A108" s="8" t="s">
        <v>52</v>
      </c>
      <c r="B108" s="25" t="s">
        <v>102</v>
      </c>
      <c r="C108" s="25">
        <v>1</v>
      </c>
      <c r="D108" s="10" t="s">
        <v>103</v>
      </c>
      <c r="E108" s="106">
        <v>700</v>
      </c>
      <c r="F108" s="93"/>
      <c r="G108" s="106">
        <v>560</v>
      </c>
      <c r="H108" s="93"/>
      <c r="I108" s="106">
        <v>620</v>
      </c>
      <c r="J108" s="93"/>
      <c r="K108" s="106">
        <v>620</v>
      </c>
      <c r="L108" s="93"/>
      <c r="M108" s="106">
        <v>660</v>
      </c>
      <c r="N108" s="93"/>
      <c r="O108" s="133">
        <v>700</v>
      </c>
      <c r="P108" s="93"/>
    </row>
    <row r="109" spans="1:16" ht="12.75">
      <c r="A109" s="23"/>
      <c r="B109" s="26"/>
      <c r="C109" s="27">
        <f aca="true" t="shared" si="5" ref="C109:C119">+C108+1</f>
        <v>2</v>
      </c>
      <c r="D109" s="17" t="s">
        <v>104</v>
      </c>
      <c r="E109" s="109">
        <v>90</v>
      </c>
      <c r="F109" s="110"/>
      <c r="G109" s="109">
        <v>90</v>
      </c>
      <c r="H109" s="110"/>
      <c r="I109" s="109">
        <v>90</v>
      </c>
      <c r="J109" s="110"/>
      <c r="K109" s="109">
        <v>90</v>
      </c>
      <c r="L109" s="110"/>
      <c r="M109" s="109">
        <v>90</v>
      </c>
      <c r="N109" s="110"/>
      <c r="O109" s="142">
        <v>85</v>
      </c>
      <c r="P109" s="110"/>
    </row>
    <row r="110" spans="1:16" ht="12.75">
      <c r="A110" s="23"/>
      <c r="B110" s="26"/>
      <c r="C110" s="27">
        <f t="shared" si="5"/>
        <v>3</v>
      </c>
      <c r="D110" s="14" t="s">
        <v>105</v>
      </c>
      <c r="E110" s="94">
        <v>900</v>
      </c>
      <c r="F110" s="110"/>
      <c r="G110" s="94">
        <v>952</v>
      </c>
      <c r="H110" s="110"/>
      <c r="I110" s="94">
        <v>1300</v>
      </c>
      <c r="J110" s="110"/>
      <c r="K110" s="94">
        <v>1352</v>
      </c>
      <c r="L110" s="110"/>
      <c r="M110" s="94">
        <v>1352</v>
      </c>
      <c r="N110" s="110"/>
      <c r="O110" s="94">
        <v>1352</v>
      </c>
      <c r="P110" s="110"/>
    </row>
    <row r="111" spans="1:19" ht="12.75">
      <c r="A111" s="12"/>
      <c r="B111" s="27"/>
      <c r="C111" s="27">
        <f t="shared" si="5"/>
        <v>4</v>
      </c>
      <c r="D111" s="14" t="s">
        <v>106</v>
      </c>
      <c r="E111" s="104">
        <f>-10824+1000+325</f>
        <v>-9499</v>
      </c>
      <c r="F111" s="95"/>
      <c r="G111" s="104">
        <f>-10824+570+325+2871-212</f>
        <v>-7270</v>
      </c>
      <c r="H111" s="95"/>
      <c r="I111" s="104">
        <f>-10824+570+325+2911-193-97-35-384</f>
        <v>-7727</v>
      </c>
      <c r="J111" s="95"/>
      <c r="K111" s="104">
        <v>-7910</v>
      </c>
      <c r="L111" s="95"/>
      <c r="M111" s="104">
        <f>-7910-242-293</f>
        <v>-8445</v>
      </c>
      <c r="N111" s="95"/>
      <c r="O111" s="44">
        <f>-7910-242-293-1927</f>
        <v>-10372</v>
      </c>
      <c r="P111" s="95"/>
      <c r="Q111" t="s">
        <v>148</v>
      </c>
      <c r="R111">
        <f>-M111-M19</f>
        <v>7875</v>
      </c>
      <c r="S111">
        <f>-O111-O19</f>
        <v>9802</v>
      </c>
    </row>
    <row r="112" spans="1:16" ht="12.75">
      <c r="A112" s="15"/>
      <c r="B112" s="28"/>
      <c r="C112" s="27">
        <f t="shared" si="5"/>
        <v>5</v>
      </c>
      <c r="D112" s="14" t="s">
        <v>107</v>
      </c>
      <c r="E112" s="111">
        <v>124</v>
      </c>
      <c r="F112" s="107"/>
      <c r="G112" s="111">
        <v>124</v>
      </c>
      <c r="H112" s="107"/>
      <c r="I112" s="111">
        <v>124</v>
      </c>
      <c r="J112" s="107"/>
      <c r="K112" s="111">
        <v>123</v>
      </c>
      <c r="L112" s="107"/>
      <c r="M112" s="111">
        <v>123</v>
      </c>
      <c r="N112" s="107"/>
      <c r="O112" s="111">
        <v>123</v>
      </c>
      <c r="P112" s="107"/>
    </row>
    <row r="113" spans="1:16" ht="12.75">
      <c r="A113" s="15"/>
      <c r="B113" s="28"/>
      <c r="C113" s="27">
        <f t="shared" si="5"/>
        <v>6</v>
      </c>
      <c r="D113" s="14" t="s">
        <v>108</v>
      </c>
      <c r="E113" s="111">
        <v>482</v>
      </c>
      <c r="F113" s="107"/>
      <c r="G113" s="111">
        <v>482</v>
      </c>
      <c r="H113" s="107"/>
      <c r="I113" s="111">
        <v>497</v>
      </c>
      <c r="J113" s="107"/>
      <c r="K113" s="111">
        <v>487</v>
      </c>
      <c r="L113" s="107"/>
      <c r="M113" s="111">
        <v>487</v>
      </c>
      <c r="N113" s="107"/>
      <c r="O113" s="111">
        <v>487</v>
      </c>
      <c r="P113" s="107"/>
    </row>
    <row r="114" spans="1:16" ht="12.75">
      <c r="A114" s="15"/>
      <c r="B114" s="28"/>
      <c r="C114" s="27">
        <f t="shared" si="5"/>
        <v>7</v>
      </c>
      <c r="D114" s="14" t="s">
        <v>109</v>
      </c>
      <c r="E114" s="111">
        <v>89</v>
      </c>
      <c r="F114" s="107"/>
      <c r="G114" s="111">
        <v>89</v>
      </c>
      <c r="H114" s="107"/>
      <c r="I114" s="111">
        <v>89</v>
      </c>
      <c r="J114" s="107"/>
      <c r="K114" s="111">
        <v>111</v>
      </c>
      <c r="L114" s="107"/>
      <c r="M114" s="111">
        <v>111</v>
      </c>
      <c r="N114" s="107"/>
      <c r="O114" s="111">
        <v>111</v>
      </c>
      <c r="P114" s="107"/>
    </row>
    <row r="115" spans="1:16" ht="12.75">
      <c r="A115" s="15"/>
      <c r="B115" s="28"/>
      <c r="C115" s="27">
        <f t="shared" si="5"/>
        <v>8</v>
      </c>
      <c r="D115" s="14" t="s">
        <v>154</v>
      </c>
      <c r="E115" s="111">
        <v>0</v>
      </c>
      <c r="F115" s="107"/>
      <c r="G115" s="111">
        <v>100</v>
      </c>
      <c r="H115" s="107"/>
      <c r="I115" s="111">
        <v>100</v>
      </c>
      <c r="J115" s="107"/>
      <c r="K115" s="111">
        <f>32+140</f>
        <v>172</v>
      </c>
      <c r="L115" s="107"/>
      <c r="M115" s="111">
        <f>32+140+71</f>
        <v>243</v>
      </c>
      <c r="N115" s="107"/>
      <c r="O115" s="141">
        <f>89+283</f>
        <v>372</v>
      </c>
      <c r="P115" s="107"/>
    </row>
    <row r="116" spans="1:16" ht="12.75">
      <c r="A116" s="15"/>
      <c r="B116" s="28"/>
      <c r="C116" s="27">
        <f t="shared" si="5"/>
        <v>9</v>
      </c>
      <c r="D116" s="14" t="s">
        <v>134</v>
      </c>
      <c r="E116" s="111"/>
      <c r="F116" s="107"/>
      <c r="G116" s="111">
        <v>360</v>
      </c>
      <c r="H116" s="107"/>
      <c r="I116" s="111">
        <v>360</v>
      </c>
      <c r="J116" s="107"/>
      <c r="K116" s="111">
        <v>360</v>
      </c>
      <c r="L116" s="107"/>
      <c r="M116" s="111">
        <v>300</v>
      </c>
      <c r="N116" s="107"/>
      <c r="O116" s="141">
        <v>456</v>
      </c>
      <c r="P116" s="107"/>
    </row>
    <row r="117" spans="1:16" ht="12.75">
      <c r="A117" s="15"/>
      <c r="B117" s="28"/>
      <c r="C117" s="27">
        <f t="shared" si="5"/>
        <v>10</v>
      </c>
      <c r="D117" s="14" t="s">
        <v>135</v>
      </c>
      <c r="E117" s="111"/>
      <c r="F117" s="107"/>
      <c r="G117" s="111">
        <v>251</v>
      </c>
      <c r="H117" s="107"/>
      <c r="I117" s="111">
        <v>251</v>
      </c>
      <c r="J117" s="107"/>
      <c r="K117" s="111">
        <v>232</v>
      </c>
      <c r="L117" s="107"/>
      <c r="M117" s="111">
        <v>232</v>
      </c>
      <c r="N117" s="107"/>
      <c r="O117" s="111">
        <v>232</v>
      </c>
      <c r="P117" s="107"/>
    </row>
    <row r="118" spans="1:16" ht="12.75">
      <c r="A118" s="15"/>
      <c r="B118" s="28"/>
      <c r="C118" s="27">
        <f t="shared" si="5"/>
        <v>11</v>
      </c>
      <c r="D118" s="14" t="s">
        <v>136</v>
      </c>
      <c r="E118" s="111"/>
      <c r="F118" s="107"/>
      <c r="G118" s="111">
        <v>80</v>
      </c>
      <c r="H118" s="107"/>
      <c r="I118" s="111">
        <v>80</v>
      </c>
      <c r="J118" s="107"/>
      <c r="K118" s="111">
        <v>80</v>
      </c>
      <c r="L118" s="107"/>
      <c r="M118" s="111">
        <v>70</v>
      </c>
      <c r="N118" s="107"/>
      <c r="O118" s="111">
        <v>70</v>
      </c>
      <c r="P118" s="107"/>
    </row>
    <row r="119" spans="1:16" ht="12.75">
      <c r="A119" s="15"/>
      <c r="B119" s="28"/>
      <c r="C119" s="27">
        <f t="shared" si="5"/>
        <v>12</v>
      </c>
      <c r="D119" s="14" t="s">
        <v>137</v>
      </c>
      <c r="E119" s="104">
        <v>704</v>
      </c>
      <c r="F119" s="107"/>
      <c r="G119" s="104">
        <v>373</v>
      </c>
      <c r="H119" s="107"/>
      <c r="I119" s="104">
        <v>359</v>
      </c>
      <c r="J119" s="107"/>
      <c r="K119" s="104">
        <v>359</v>
      </c>
      <c r="L119" s="107"/>
      <c r="M119" s="104">
        <v>279</v>
      </c>
      <c r="N119" s="107"/>
      <c r="O119" s="44">
        <v>301</v>
      </c>
      <c r="P119" s="107"/>
    </row>
    <row r="120" spans="1:16" ht="13.5" thickBot="1">
      <c r="A120" s="20"/>
      <c r="B120" s="29"/>
      <c r="C120" s="29"/>
      <c r="D120" s="22" t="s">
        <v>22</v>
      </c>
      <c r="E120" s="97"/>
      <c r="F120" s="102">
        <f>SUM(E108:E119)</f>
        <v>-6410</v>
      </c>
      <c r="G120" s="97"/>
      <c r="H120" s="102">
        <f>SUM(G108:G119)</f>
        <v>-3809</v>
      </c>
      <c r="I120" s="97"/>
      <c r="J120" s="102">
        <f>SUM(I108:I119)</f>
        <v>-3857</v>
      </c>
      <c r="K120" s="97"/>
      <c r="L120" s="102">
        <f>SUM(K108:K119)</f>
        <v>-3924</v>
      </c>
      <c r="M120" s="97"/>
      <c r="N120" s="102">
        <f>SUM(M108:M119)</f>
        <v>-4498</v>
      </c>
      <c r="O120" s="97"/>
      <c r="P120" s="43">
        <f>SUM(O108:O119)</f>
        <v>-6083</v>
      </c>
    </row>
    <row r="121" spans="1:16" ht="13.5" thickBot="1">
      <c r="A121" s="30" t="s">
        <v>54</v>
      </c>
      <c r="B121" s="31" t="s">
        <v>110</v>
      </c>
      <c r="C121" s="31"/>
      <c r="D121" s="32" t="s">
        <v>111</v>
      </c>
      <c r="E121" s="87">
        <v>0</v>
      </c>
      <c r="F121" s="151"/>
      <c r="G121" s="87">
        <v>0</v>
      </c>
      <c r="H121" s="151"/>
      <c r="I121" s="87">
        <v>0</v>
      </c>
      <c r="J121" s="151"/>
      <c r="K121" s="87">
        <v>840</v>
      </c>
      <c r="L121" s="151"/>
      <c r="M121" s="87">
        <v>845</v>
      </c>
      <c r="N121" s="115">
        <f>SUM(M121)</f>
        <v>845</v>
      </c>
      <c r="O121" s="87">
        <v>845</v>
      </c>
      <c r="P121" s="115">
        <f>SUM(O121)</f>
        <v>845</v>
      </c>
    </row>
    <row r="122" spans="1:16" ht="13.5" thickBot="1">
      <c r="A122" s="49" t="s">
        <v>56</v>
      </c>
      <c r="B122" s="50" t="s">
        <v>53</v>
      </c>
      <c r="C122" s="50"/>
      <c r="D122" s="46"/>
      <c r="E122" s="112">
        <v>900</v>
      </c>
      <c r="F122" s="113">
        <f>SUM(E122)</f>
        <v>900</v>
      </c>
      <c r="G122" s="112">
        <v>1250</v>
      </c>
      <c r="H122" s="113">
        <f>SUM(G122)</f>
        <v>1250</v>
      </c>
      <c r="I122" s="112">
        <v>1250</v>
      </c>
      <c r="J122" s="113">
        <f>SUM(I122)</f>
        <v>1250</v>
      </c>
      <c r="K122" s="112">
        <v>1550</v>
      </c>
      <c r="L122" s="113">
        <f>SUM(K122)</f>
        <v>1550</v>
      </c>
      <c r="M122" s="112">
        <v>1950</v>
      </c>
      <c r="N122" s="113">
        <f>SUM(M122)</f>
        <v>1950</v>
      </c>
      <c r="O122" s="136">
        <v>2100</v>
      </c>
      <c r="P122" s="137">
        <f>SUM(O122)</f>
        <v>2100</v>
      </c>
    </row>
    <row r="123" spans="1:16" ht="13.5" thickBot="1">
      <c r="A123" s="51" t="s">
        <v>62</v>
      </c>
      <c r="B123" s="31" t="s">
        <v>63</v>
      </c>
      <c r="C123" s="45"/>
      <c r="D123" s="52"/>
      <c r="E123" s="114">
        <v>610</v>
      </c>
      <c r="F123" s="115">
        <f>SUM(E123)</f>
        <v>610</v>
      </c>
      <c r="G123" s="114">
        <v>610</v>
      </c>
      <c r="H123" s="115">
        <f>SUM(G123)</f>
        <v>610</v>
      </c>
      <c r="I123" s="114">
        <v>610</v>
      </c>
      <c r="J123" s="115">
        <f>SUM(I123)</f>
        <v>610</v>
      </c>
      <c r="K123" s="114">
        <v>610</v>
      </c>
      <c r="L123" s="115">
        <f>SUM(K123)</f>
        <v>610</v>
      </c>
      <c r="M123" s="114">
        <v>580</v>
      </c>
      <c r="N123" s="115">
        <f>SUM(M123)</f>
        <v>580</v>
      </c>
      <c r="O123" s="145">
        <v>587</v>
      </c>
      <c r="P123" s="53">
        <f>SUM(O123)</f>
        <v>587</v>
      </c>
    </row>
    <row r="124" spans="1:16" ht="12.75">
      <c r="A124" s="34"/>
      <c r="B124" s="25" t="s">
        <v>112</v>
      </c>
      <c r="C124" s="25"/>
      <c r="D124" s="10"/>
      <c r="E124" s="106"/>
      <c r="F124" s="116">
        <f>SUM(F66:F123)</f>
        <v>80462</v>
      </c>
      <c r="G124" s="106"/>
      <c r="H124" s="116">
        <f>SUM(H66:H123)</f>
        <v>82013</v>
      </c>
      <c r="I124" s="106"/>
      <c r="J124" s="116">
        <f>SUM(J66:J123)</f>
        <v>84741</v>
      </c>
      <c r="K124" s="106"/>
      <c r="L124" s="116">
        <f>SUM(L66:L123)</f>
        <v>85874</v>
      </c>
      <c r="M124" s="106"/>
      <c r="N124" s="116">
        <f>SUM(N66:N123)</f>
        <v>88497</v>
      </c>
      <c r="O124" s="106"/>
      <c r="P124" s="54">
        <f>SUM(P66:P123)</f>
        <v>88771</v>
      </c>
    </row>
    <row r="125" spans="1:19" ht="13.5" thickBot="1">
      <c r="A125" s="36"/>
      <c r="B125" s="29" t="s">
        <v>113</v>
      </c>
      <c r="C125" s="29"/>
      <c r="D125" s="22"/>
      <c r="E125" s="97"/>
      <c r="F125" s="117">
        <f>+F124-610</f>
        <v>79852</v>
      </c>
      <c r="G125" s="97"/>
      <c r="H125" s="117">
        <f>+H124-610</f>
        <v>81403</v>
      </c>
      <c r="I125" s="97"/>
      <c r="J125" s="117">
        <f>+J124-610</f>
        <v>84131</v>
      </c>
      <c r="K125" s="97"/>
      <c r="L125" s="117">
        <f>+L124-610</f>
        <v>85264</v>
      </c>
      <c r="M125" s="97"/>
      <c r="N125" s="117">
        <f>+N124-580</f>
        <v>87917</v>
      </c>
      <c r="O125" s="97"/>
      <c r="P125" s="55">
        <f>+P124-587</f>
        <v>88184</v>
      </c>
      <c r="Q125" t="s">
        <v>114</v>
      </c>
      <c r="R125" s="38">
        <f>+N125-N95+R111</f>
        <v>52149</v>
      </c>
      <c r="S125" s="38">
        <f>+P125-P95+S111</f>
        <v>53215</v>
      </c>
    </row>
    <row r="126" spans="1:16" ht="13.5" thickBot="1">
      <c r="A126" s="56"/>
      <c r="B126" s="56"/>
      <c r="C126" s="56"/>
      <c r="D126" s="56"/>
      <c r="E126" s="118"/>
      <c r="F126" s="119"/>
      <c r="G126" s="118"/>
      <c r="H126" s="119"/>
      <c r="I126" s="118"/>
      <c r="J126" s="119"/>
      <c r="K126" s="118"/>
      <c r="L126" s="119"/>
      <c r="M126" s="118"/>
      <c r="N126" s="119"/>
      <c r="O126" s="118"/>
      <c r="P126" s="119"/>
    </row>
    <row r="127" spans="1:19" ht="13.5" thickBot="1">
      <c r="A127" s="57"/>
      <c r="B127" s="58" t="s">
        <v>115</v>
      </c>
      <c r="C127" s="59"/>
      <c r="D127" s="60"/>
      <c r="E127" s="115"/>
      <c r="F127" s="115">
        <f>+F54-F125</f>
        <v>-15555.120000000003</v>
      </c>
      <c r="G127" s="115"/>
      <c r="H127" s="115">
        <f>+H54-H125</f>
        <v>-16513.120000000003</v>
      </c>
      <c r="I127" s="115"/>
      <c r="J127" s="115">
        <f>+J54-J125</f>
        <v>-16900.119999999995</v>
      </c>
      <c r="K127" s="115"/>
      <c r="L127" s="115">
        <f>+L54-L125</f>
        <v>-17218.119999999995</v>
      </c>
      <c r="M127" s="115"/>
      <c r="N127" s="115">
        <f>+N54-N125</f>
        <v>-20458.119999999995</v>
      </c>
      <c r="O127" s="115"/>
      <c r="P127" s="53">
        <f>+P54-P125</f>
        <v>-20558.119999999995</v>
      </c>
      <c r="Q127" t="s">
        <v>116</v>
      </c>
      <c r="R127" s="38">
        <f>+R54-R125</f>
        <v>9608.880000000005</v>
      </c>
      <c r="S127" s="38">
        <f>+S54-S125</f>
        <v>8909.880000000005</v>
      </c>
    </row>
    <row r="128" spans="1:19" ht="12.75">
      <c r="A128" s="56"/>
      <c r="B128" s="61" t="s">
        <v>117</v>
      </c>
      <c r="C128" s="34" t="s">
        <v>138</v>
      </c>
      <c r="D128" s="62"/>
      <c r="E128" s="109">
        <v>25000</v>
      </c>
      <c r="F128" s="120"/>
      <c r="G128" s="109">
        <f>25000+1061</f>
        <v>26061</v>
      </c>
      <c r="H128" s="120"/>
      <c r="I128" s="109">
        <f>25000+1061</f>
        <v>26061</v>
      </c>
      <c r="J128" s="120"/>
      <c r="K128" s="109">
        <f>25000+967</f>
        <v>25967</v>
      </c>
      <c r="L128" s="120"/>
      <c r="M128" s="109">
        <f>25000+967</f>
        <v>25967</v>
      </c>
      <c r="N128" s="120"/>
      <c r="O128" s="109">
        <f>25000+967</f>
        <v>25967</v>
      </c>
      <c r="P128" s="120"/>
      <c r="Q128" t="s">
        <v>118</v>
      </c>
      <c r="R128" s="11">
        <f>+R127/R54</f>
        <v>0.15558953772376907</v>
      </c>
      <c r="S128" s="11">
        <f>+S127/S54</f>
        <v>0.1434188685756818</v>
      </c>
    </row>
    <row r="129" spans="2:16" ht="12.75">
      <c r="B129" s="61"/>
      <c r="C129" s="63" t="s">
        <v>119</v>
      </c>
      <c r="D129" s="64"/>
      <c r="E129" s="65">
        <f>-606-224-3000-1875-2873</f>
        <v>-8578</v>
      </c>
      <c r="F129" s="121"/>
      <c r="G129" s="65">
        <f>-606-224-3000-1875-2873-130</f>
        <v>-8708</v>
      </c>
      <c r="H129" s="121"/>
      <c r="I129" s="65">
        <f>-606-224-3000-1875-2873-143</f>
        <v>-8721</v>
      </c>
      <c r="J129" s="121"/>
      <c r="K129" s="65">
        <f>-606-224-3000-1875-2873-91</f>
        <v>-8669</v>
      </c>
      <c r="L129" s="121"/>
      <c r="M129" s="65">
        <f>-606-224-600-1875-2873-91</f>
        <v>-6269</v>
      </c>
      <c r="N129" s="121"/>
      <c r="O129" s="65">
        <f>-606-224-1875-2873-91-600</f>
        <v>-6269</v>
      </c>
      <c r="P129" s="66"/>
    </row>
    <row r="130" spans="2:17" ht="13.5" thickBot="1">
      <c r="B130" s="67" t="s">
        <v>120</v>
      </c>
      <c r="C130" s="36" t="s">
        <v>121</v>
      </c>
      <c r="D130" s="68"/>
      <c r="E130" s="101">
        <v>-27</v>
      </c>
      <c r="F130" s="102">
        <f>SUM(E128:E130)</f>
        <v>16395</v>
      </c>
      <c r="G130" s="101">
        <v>0</v>
      </c>
      <c r="H130" s="102">
        <f>SUM(G128:G130)</f>
        <v>17353</v>
      </c>
      <c r="I130" s="101">
        <v>400</v>
      </c>
      <c r="J130" s="102">
        <f>SUM(I128:I130)</f>
        <v>17740</v>
      </c>
      <c r="K130" s="101">
        <v>760</v>
      </c>
      <c r="L130" s="102">
        <f>SUM(K128:K130)</f>
        <v>18058</v>
      </c>
      <c r="M130" s="101">
        <v>760</v>
      </c>
      <c r="N130" s="102">
        <f>SUM(M128:M130)</f>
        <v>20458</v>
      </c>
      <c r="O130" s="143">
        <v>860</v>
      </c>
      <c r="P130" s="43">
        <f>SUM(O128:O130)</f>
        <v>20558</v>
      </c>
      <c r="Q130" s="38">
        <f>SUM(P127:P130)</f>
        <v>-0.11999999999534339</v>
      </c>
    </row>
    <row r="131" spans="2:16" ht="12.75">
      <c r="B131" s="69" t="s">
        <v>122</v>
      </c>
      <c r="C131" s="26"/>
      <c r="D131" s="26"/>
      <c r="E131" s="122">
        <v>3802</v>
      </c>
      <c r="F131" s="120" t="s">
        <v>123</v>
      </c>
      <c r="G131" s="122">
        <v>3802</v>
      </c>
      <c r="H131" s="120" t="s">
        <v>123</v>
      </c>
      <c r="I131" s="122">
        <v>3802</v>
      </c>
      <c r="J131" s="120" t="s">
        <v>123</v>
      </c>
      <c r="K131" s="122">
        <v>3802</v>
      </c>
      <c r="L131" s="120" t="s">
        <v>123</v>
      </c>
      <c r="M131" s="122">
        <v>3802</v>
      </c>
      <c r="N131" s="120" t="s">
        <v>123</v>
      </c>
      <c r="O131" s="122">
        <v>3802</v>
      </c>
      <c r="P131" s="120" t="s">
        <v>123</v>
      </c>
    </row>
    <row r="132" spans="2:16" ht="12.75">
      <c r="B132" s="63" t="s">
        <v>124</v>
      </c>
      <c r="C132" s="27"/>
      <c r="D132" s="27"/>
      <c r="E132" s="123">
        <f>+E130-E135</f>
        <v>-27</v>
      </c>
      <c r="F132" s="100" t="s">
        <v>123</v>
      </c>
      <c r="G132" s="123">
        <f>+G130-G135</f>
        <v>0</v>
      </c>
      <c r="H132" s="100" t="s">
        <v>123</v>
      </c>
      <c r="I132" s="123">
        <f>+I130-I135</f>
        <v>400</v>
      </c>
      <c r="J132" s="100" t="s">
        <v>123</v>
      </c>
      <c r="K132" s="123">
        <f>+K130-K135</f>
        <v>760</v>
      </c>
      <c r="L132" s="100" t="s">
        <v>123</v>
      </c>
      <c r="M132" s="123">
        <f>+M130-M135</f>
        <v>760</v>
      </c>
      <c r="N132" s="100" t="s">
        <v>123</v>
      </c>
      <c r="O132" s="123">
        <f>+O130-O135</f>
        <v>860</v>
      </c>
      <c r="P132" s="100" t="s">
        <v>123</v>
      </c>
    </row>
    <row r="133" spans="2:16" ht="13.5" thickBot="1">
      <c r="B133" s="36" t="s">
        <v>125</v>
      </c>
      <c r="C133" s="29"/>
      <c r="D133" s="29"/>
      <c r="E133" s="124">
        <f>+E131-E132</f>
        <v>3829</v>
      </c>
      <c r="F133" s="102" t="s">
        <v>123</v>
      </c>
      <c r="G133" s="124">
        <f>+G131-G132</f>
        <v>3802</v>
      </c>
      <c r="H133" s="102" t="s">
        <v>123</v>
      </c>
      <c r="I133" s="124">
        <f>+I131-I132</f>
        <v>3402</v>
      </c>
      <c r="J133" s="102" t="s">
        <v>123</v>
      </c>
      <c r="K133" s="124">
        <f>+K131-K132</f>
        <v>3042</v>
      </c>
      <c r="L133" s="102" t="s">
        <v>123</v>
      </c>
      <c r="M133" s="124">
        <f>+M131-M132</f>
        <v>3042</v>
      </c>
      <c r="N133" s="102" t="s">
        <v>123</v>
      </c>
      <c r="O133" s="139">
        <f>+O131-O132</f>
        <v>2942</v>
      </c>
      <c r="P133" s="102" t="s">
        <v>123</v>
      </c>
    </row>
    <row r="134" spans="2:16" ht="12.75">
      <c r="B134" s="34" t="s">
        <v>126</v>
      </c>
      <c r="C134" s="25"/>
      <c r="D134" s="25"/>
      <c r="E134" s="125">
        <v>198</v>
      </c>
      <c r="F134" s="93" t="s">
        <v>123</v>
      </c>
      <c r="G134" s="125">
        <v>198</v>
      </c>
      <c r="H134" s="93" t="s">
        <v>123</v>
      </c>
      <c r="I134" s="125">
        <v>198</v>
      </c>
      <c r="J134" s="93" t="s">
        <v>123</v>
      </c>
      <c r="K134" s="125">
        <v>198</v>
      </c>
      <c r="L134" s="93" t="s">
        <v>123</v>
      </c>
      <c r="M134" s="125">
        <v>198</v>
      </c>
      <c r="N134" s="93" t="s">
        <v>123</v>
      </c>
      <c r="O134" s="125">
        <v>198</v>
      </c>
      <c r="P134" s="93" t="s">
        <v>123</v>
      </c>
    </row>
    <row r="135" spans="2:16" ht="12.75">
      <c r="B135" s="63" t="s">
        <v>127</v>
      </c>
      <c r="C135" s="27"/>
      <c r="D135" s="27"/>
      <c r="E135" s="123">
        <f>E123-E52</f>
        <v>0</v>
      </c>
      <c r="F135" s="95" t="s">
        <v>123</v>
      </c>
      <c r="G135" s="123">
        <f>G123-G52</f>
        <v>0</v>
      </c>
      <c r="H135" s="95" t="s">
        <v>123</v>
      </c>
      <c r="I135" s="123">
        <f>I123-I52</f>
        <v>0</v>
      </c>
      <c r="J135" s="95" t="s">
        <v>123</v>
      </c>
      <c r="K135" s="123">
        <f>K123-K52</f>
        <v>0</v>
      </c>
      <c r="L135" s="95" t="s">
        <v>123</v>
      </c>
      <c r="M135" s="123">
        <f>M123-M52</f>
        <v>0</v>
      </c>
      <c r="N135" s="95" t="s">
        <v>123</v>
      </c>
      <c r="O135" s="123">
        <f>O123-O52</f>
        <v>0</v>
      </c>
      <c r="P135" s="95" t="s">
        <v>123</v>
      </c>
    </row>
    <row r="136" spans="2:16" ht="13.5" thickBot="1">
      <c r="B136" s="36" t="s">
        <v>128</v>
      </c>
      <c r="C136" s="29"/>
      <c r="D136" s="29"/>
      <c r="E136" s="124">
        <f>+E134-E135</f>
        <v>198</v>
      </c>
      <c r="F136" s="108" t="s">
        <v>123</v>
      </c>
      <c r="G136" s="124">
        <f>+G134-G135</f>
        <v>198</v>
      </c>
      <c r="H136" s="108" t="s">
        <v>123</v>
      </c>
      <c r="I136" s="124">
        <f>+I134-I135</f>
        <v>198</v>
      </c>
      <c r="J136" s="108" t="s">
        <v>123</v>
      </c>
      <c r="K136" s="124">
        <f>+K134-K135</f>
        <v>198</v>
      </c>
      <c r="L136" s="108" t="s">
        <v>123</v>
      </c>
      <c r="M136" s="124">
        <f>+M134-M135</f>
        <v>198</v>
      </c>
      <c r="N136" s="108" t="s">
        <v>123</v>
      </c>
      <c r="O136" s="124">
        <f>+O134-O135</f>
        <v>198</v>
      </c>
      <c r="P136" s="108" t="s">
        <v>123</v>
      </c>
    </row>
    <row r="138" ht="12.75">
      <c r="B138" s="56"/>
    </row>
    <row r="628" ht="12.75">
      <c r="J628" s="126" t="s">
        <v>157</v>
      </c>
    </row>
  </sheetData>
  <mergeCells count="12">
    <mergeCell ref="O1:P1"/>
    <mergeCell ref="O55:P55"/>
    <mergeCell ref="M1:N1"/>
    <mergeCell ref="M55:N55"/>
    <mergeCell ref="E55:F55"/>
    <mergeCell ref="E1:F1"/>
    <mergeCell ref="G1:H1"/>
    <mergeCell ref="G55:H55"/>
    <mergeCell ref="K1:L1"/>
    <mergeCell ref="K55:L55"/>
    <mergeCell ref="I1:J1"/>
    <mergeCell ref="I55:J55"/>
  </mergeCells>
  <printOptions/>
  <pageMargins left="1.08" right="0.65" top="0.53" bottom="0.36" header="0.27" footer="0.27"/>
  <pageSetup horizontalDpi="600" verticalDpi="600" orientation="portrait" paperSize="9" scale="79" r:id="rId3"/>
  <headerFooter alignWithMargins="0">
    <oddHeader xml:space="preserve">&amp;C&amp;"Arial Black,Obyčejné"&amp;12V.úprava rozpočtu města Blovice  na rok 2013 schválená ZM 19.12.2012&amp;Rč.j.MUBlov 14799/12 </oddHeader>
    <oddFooter>&amp;Lvyvěšeno: 
sejmuto:
&amp;Rsestavil: Ing.Hodek</oddFooter>
  </headerFooter>
  <rowBreaks count="1" manualBreakCount="1">
    <brk id="54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Blovice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hodekm</dc:creator>
  <cp:keywords/>
  <dc:description/>
  <cp:lastModifiedBy>HodekM</cp:lastModifiedBy>
  <cp:lastPrinted>2012-12-20T11:56:59Z</cp:lastPrinted>
  <dcterms:created xsi:type="dcterms:W3CDTF">2012-01-09T10:21:42Z</dcterms:created>
  <dcterms:modified xsi:type="dcterms:W3CDTF">2012-12-20T12:27:55Z</dcterms:modified>
  <cp:category/>
  <cp:version/>
  <cp:contentType/>
  <cp:contentStatus/>
</cp:coreProperties>
</file>