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4130" windowHeight="6315" activeTab="0"/>
  </bookViews>
  <sheets>
    <sheet name="Příjmy_Výdaje" sheetId="1" r:id="rId1"/>
    <sheet name="Rozvaha, ZaZ, dluh.služba" sheetId="2" r:id="rId2"/>
    <sheet name="graf" sheetId="3" r:id="rId3"/>
    <sheet name="vypořádání" sheetId="4" r:id="rId4"/>
    <sheet name="soc_fond" sheetId="5" r:id="rId5"/>
    <sheet name="PO" sheetId="6" r:id="rId6"/>
  </sheets>
  <definedNames>
    <definedName name="_xlnm.Print_Area" localSheetId="2">'graf'!$A$1:$T$38</definedName>
    <definedName name="_xlnm.Print_Area" localSheetId="0">'Příjmy_Výdaje'!$A$1:$O$129</definedName>
    <definedName name="_xlnm.Print_Area" localSheetId="1">'Rozvaha, ZaZ, dluh.služba'!$A$1:$J$67</definedName>
  </definedNames>
  <calcPr fullCalcOnLoad="1"/>
</workbook>
</file>

<file path=xl/sharedStrings.xml><?xml version="1.0" encoding="utf-8"?>
<sst xmlns="http://schemas.openxmlformats.org/spreadsheetml/2006/main" count="463" uniqueCount="312">
  <si>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</si>
  <si>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</si>
  <si>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</si>
  <si>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</si>
  <si>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</si>
  <si>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</si>
  <si>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</si>
  <si>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</si>
  <si>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</si>
  <si>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</si>
  <si>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vzdělávání eGON (OPLZZ)</t>
  </si>
  <si>
    <t>knihovna - PK</t>
  </si>
  <si>
    <t>dotace z UP na mzdy</t>
  </si>
  <si>
    <t>státní správa lesů</t>
  </si>
  <si>
    <t>vzdělávací program ZŠ (EU)</t>
  </si>
  <si>
    <t xml:space="preserve">ostatní 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</si>
  <si>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</si>
  <si>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</si>
  <si>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</si>
  <si>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</si>
  <si>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</si>
  <si>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</si>
  <si>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</si>
  <si>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</si>
  <si>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</si>
  <si>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</si>
  <si>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</si>
  <si>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</si>
  <si>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</si>
  <si>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</si>
  <si>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</si>
  <si>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</si>
  <si>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</si>
  <si>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</si>
  <si>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</si>
  <si>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</si>
  <si>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</si>
  <si>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</si>
  <si>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</si>
  <si>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</si>
  <si>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</si>
  <si>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</si>
  <si>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</si>
  <si>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prodeje staveb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</si>
  <si>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</si>
  <si>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</si>
  <si>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</si>
  <si>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</si>
  <si>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</si>
  <si>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</si>
  <si>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</si>
  <si>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</si>
  <si>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</si>
  <si>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</si>
  <si>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</si>
  <si>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</si>
  <si>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</si>
  <si>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</si>
  <si>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</si>
  <si>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</si>
  <si>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</si>
  <si>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</si>
  <si>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</si>
  <si>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</si>
  <si>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</si>
  <si>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>běž.příjmy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</si>
  <si>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</si>
  <si>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</si>
  <si>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</si>
  <si>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</si>
  <si>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</si>
  <si>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</si>
  <si>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</si>
  <si>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</si>
  <si>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</si>
  <si>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</si>
  <si>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</si>
  <si>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</si>
  <si>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</si>
  <si>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</si>
  <si>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</si>
  <si>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</si>
  <si>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>knihovna</t>
  </si>
  <si>
    <t>ost.spolky+kult.akce</t>
  </si>
  <si>
    <t>ROZVOJ MĚSTA</t>
  </si>
  <si>
    <t xml:space="preserve">"Čistá Berounka" </t>
  </si>
  <si>
    <t>územní plán Blovice</t>
  </si>
  <si>
    <t>infrastruktura Hradiště II</t>
  </si>
  <si>
    <t>Husova rekonstrukce</t>
  </si>
  <si>
    <t>kanalizace Na Výsluní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</si>
  <si>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</si>
  <si>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</si>
  <si>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</si>
  <si>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</si>
  <si>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</si>
  <si>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</si>
  <si>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</si>
  <si>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</si>
  <si>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</si>
  <si>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JSDH Blovice - provoz (JPOIII)</t>
  </si>
  <si>
    <t>oprava kolowratské kaple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</si>
  <si>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</si>
  <si>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</si>
  <si>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</si>
  <si>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</si>
  <si>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</si>
  <si>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</si>
  <si>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nevyuž.dotace 2011</t>
  </si>
  <si>
    <t>"Čistá Berounka" provoz svazku</t>
  </si>
  <si>
    <t>SOC.VĚCI</t>
  </si>
  <si>
    <t>peč.služba</t>
  </si>
  <si>
    <t>CELKEM VÝDAJE PŘED KONS.</t>
  </si>
  <si>
    <t>CELKEM VÝDAJE PO KONS.</t>
  </si>
  <si>
    <t>běž.výdaje</t>
  </si>
  <si>
    <t>HV PO KONSOLIDACI</t>
  </si>
  <si>
    <t>provoz.saldo</t>
  </si>
  <si>
    <t>Financování</t>
  </si>
  <si>
    <t>saldo/příjmy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</si>
  <si>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</si>
  <si>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</si>
  <si>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</si>
  <si>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</si>
  <si>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</si>
  <si>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</si>
  <si>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</si>
  <si>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</si>
  <si>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</si>
  <si>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</si>
  <si>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kropící vůz</t>
  </si>
  <si>
    <t>chodník Hradiště</t>
  </si>
  <si>
    <t>proj.dokumentace výtah DPS</t>
  </si>
  <si>
    <t>oslava SDH</t>
  </si>
  <si>
    <t>rozpočet 2012</t>
  </si>
  <si>
    <t>koncesní řízení - provozovatel VaK</t>
  </si>
  <si>
    <t>pojistné města</t>
  </si>
  <si>
    <t>bankovní poplatky</t>
  </si>
  <si>
    <t>drobné opravy, služby</t>
  </si>
  <si>
    <t>Přijaté úvěry (ČB+BUS)</t>
  </si>
  <si>
    <t>nákup minibusu</t>
  </si>
  <si>
    <t>nákup auta lesy</t>
  </si>
  <si>
    <t>zateplení sálu LD - projekt</t>
  </si>
  <si>
    <t>I.úprava</t>
  </si>
  <si>
    <t>funkční vodovod (SZIF)</t>
  </si>
  <si>
    <t xml:space="preserve">funkční vodovod </t>
  </si>
  <si>
    <t>projekty vodovody</t>
  </si>
  <si>
    <t>optický kabel MěÚ (PK)</t>
  </si>
  <si>
    <t>oprava MK Dubí</t>
  </si>
  <si>
    <t>uplat.DPH</t>
  </si>
  <si>
    <t xml:space="preserve">optický kabel MěÚ </t>
  </si>
  <si>
    <t>střecha MěÚ - čp.143 (PK)</t>
  </si>
  <si>
    <t>II.úprava</t>
  </si>
  <si>
    <t>státní správa lesů neinv.</t>
  </si>
  <si>
    <t>prodeje ost.majetku</t>
  </si>
  <si>
    <t>rozšíření kapacity MŠ</t>
  </si>
  <si>
    <t>¨¨¨¨¨¨¨¨¨¨¨¨¨¨¨¨¨¨¨¨¨¨¨¨¨¨¨¨¨¨¨¨¨¨¨¨¨¨¨¨¨¨¨¨¨¨¨¨¨¨¨¨¨¨¨¨¨¨¨¨¨¨¨¨</t>
  </si>
  <si>
    <t>lesní hosp.osnovy</t>
  </si>
  <si>
    <t>koupací biotop</t>
  </si>
  <si>
    <t>prodej dlažeb.kostek</t>
  </si>
  <si>
    <t xml:space="preserve">Sokol </t>
  </si>
  <si>
    <t>V.úprava</t>
  </si>
  <si>
    <t>oprava střechy MěÚ čp.143</t>
  </si>
  <si>
    <t>výsledek 2012</t>
  </si>
  <si>
    <t>%</t>
  </si>
  <si>
    <t>Opravné položky k peněž.operacím</t>
  </si>
  <si>
    <t>Příjmy</t>
  </si>
  <si>
    <t>Dotace</t>
  </si>
  <si>
    <t>Daně</t>
  </si>
  <si>
    <t xml:space="preserve">Poplatky </t>
  </si>
  <si>
    <t>Prodeje</t>
  </si>
  <si>
    <t>Nájmy</t>
  </si>
  <si>
    <t>Lesy</t>
  </si>
  <si>
    <t>BH převod</t>
  </si>
  <si>
    <t>Zvl. příjmy</t>
  </si>
  <si>
    <t>Fondy po kons.</t>
  </si>
  <si>
    <t>CELKEM po kons.</t>
  </si>
  <si>
    <t>Výdaje</t>
  </si>
  <si>
    <t>Školství</t>
  </si>
  <si>
    <t xml:space="preserve">Správa MěÚ </t>
  </si>
  <si>
    <t>Kultura a sport</t>
  </si>
  <si>
    <t>Rozvoj města</t>
  </si>
  <si>
    <t>Údržba města</t>
  </si>
  <si>
    <t>Různé výdaje</t>
  </si>
  <si>
    <t>Soc.věci</t>
  </si>
  <si>
    <t xml:space="preserve">Příjmy - Výdaje </t>
  </si>
  <si>
    <t>AKTIVA v tis.Kč</t>
  </si>
  <si>
    <t>k 31.12.2011</t>
  </si>
  <si>
    <t>změna %</t>
  </si>
  <si>
    <t>Stálá aktiva:</t>
  </si>
  <si>
    <t>z toho:</t>
  </si>
  <si>
    <t>Dlouhodobý nehmotný majetek</t>
  </si>
  <si>
    <t>Dlouhodobý hmotný majetek</t>
  </si>
  <si>
    <t>Dlouhodobé pohledávky</t>
  </si>
  <si>
    <t>Oběžná aktiva:</t>
  </si>
  <si>
    <t>Zásoby</t>
  </si>
  <si>
    <t>Krátkodobé pohledávky</t>
  </si>
  <si>
    <t xml:space="preserve">Krátkodobý finanční majetek </t>
  </si>
  <si>
    <t>CELKEM AKTIVA</t>
  </si>
  <si>
    <t>PASIVA v tis.Kč</t>
  </si>
  <si>
    <t>Vlastní kapitál:</t>
  </si>
  <si>
    <t>Jmění účetní jednotky</t>
  </si>
  <si>
    <t>Fondy účetní jednotky</t>
  </si>
  <si>
    <t>Výsledek hospodaření</t>
  </si>
  <si>
    <t>Cizí zdroje:</t>
  </si>
  <si>
    <t xml:space="preserve">Dlouhodobé závazky </t>
  </si>
  <si>
    <t>Krátkodobé závazky</t>
  </si>
  <si>
    <t>CELKEM PASIVA</t>
  </si>
  <si>
    <t>Název ukazatele v tis.Kč</t>
  </si>
  <si>
    <t>Účtová třída 5 (náklady) celkem</t>
  </si>
  <si>
    <t>náklady z činnosti</t>
  </si>
  <si>
    <t>finanční náklady</t>
  </si>
  <si>
    <t>náklady na transfery (dotace)</t>
  </si>
  <si>
    <t>Účtová třída 6 (výnosy) celkem</t>
  </si>
  <si>
    <t>výnosy z činnosti</t>
  </si>
  <si>
    <t>finanční výnosy</t>
  </si>
  <si>
    <t>výnosy z daní a popl.</t>
  </si>
  <si>
    <t>výnosy z transferů (dotací)</t>
  </si>
  <si>
    <t xml:space="preserve">Hospodářský výsledek </t>
  </si>
  <si>
    <t>daň z příjmů</t>
  </si>
  <si>
    <t>Hospodářský výsledek po zdanění</t>
  </si>
  <si>
    <t>odpisy</t>
  </si>
  <si>
    <t>opravy</t>
  </si>
  <si>
    <t>Vybrané příjmy = dluhová základna</t>
  </si>
  <si>
    <t>Dluhová služba (úroky, jistiny, leasing)</t>
  </si>
  <si>
    <t>Ukazatel dluhové služby (%)</t>
  </si>
  <si>
    <t>ROZVAHA  k 31.12.2012</t>
  </si>
  <si>
    <t>k 1.1.2012</t>
  </si>
  <si>
    <t>k 31.12.2012</t>
  </si>
  <si>
    <t>VÝKAZ ZISKU A ZTRÁTY k 31.12.2012 - MĚSTO BLOVICE</t>
  </si>
  <si>
    <t>VÝKAZ ZISKU A ZTRÁTY k 31.12.2012 - BYTOVÉ HOSPODÁŘSTVÍ</t>
  </si>
  <si>
    <t>DLUHOVÁ SLUŽBA k 31.12.2012</t>
  </si>
  <si>
    <t>poskytovatel</t>
  </si>
  <si>
    <t>UZ</t>
  </si>
  <si>
    <t>účel</t>
  </si>
  <si>
    <t>vratka</t>
  </si>
  <si>
    <t>MF</t>
  </si>
  <si>
    <t>dotace na výkon SS+školství</t>
  </si>
  <si>
    <t>ÚP</t>
  </si>
  <si>
    <t>dotace na nezaměstnané</t>
  </si>
  <si>
    <t>ÚP (EU)</t>
  </si>
  <si>
    <t>MPSV</t>
  </si>
  <si>
    <t>MV - OPLZZ</t>
  </si>
  <si>
    <t>Vzdělávání - výzva č.40</t>
  </si>
  <si>
    <t>Plzeňský kraj</t>
  </si>
  <si>
    <t>regionální funkce knihoven</t>
  </si>
  <si>
    <t>DDM - v přírodě s přírodou</t>
  </si>
  <si>
    <t>lesy - meliorace a zprac.dřevin</t>
  </si>
  <si>
    <t>lesy - činnost OLH</t>
  </si>
  <si>
    <t>OP VK</t>
  </si>
  <si>
    <t>peníze školám</t>
  </si>
  <si>
    <t>SPOD</t>
  </si>
  <si>
    <t>MK</t>
  </si>
  <si>
    <t>oprava kol.kaple</t>
  </si>
  <si>
    <t>obce</t>
  </si>
  <si>
    <t>PRV</t>
  </si>
  <si>
    <t>částky v Kč</t>
  </si>
  <si>
    <t>čerpáno k 31.12.2012</t>
  </si>
  <si>
    <t>použito k 31.12.2012</t>
  </si>
  <si>
    <t>Funkční vodovod v Blovicích</t>
  </si>
  <si>
    <t>Svátek dechovky 2012</t>
  </si>
  <si>
    <t>Propojení objektů města optickým kabelem</t>
  </si>
  <si>
    <t>Bezpečnostní opatření proti zatoulaným zvířatům</t>
  </si>
  <si>
    <t>LHO I., LHO II.</t>
  </si>
  <si>
    <t>hospodaření v lesích</t>
  </si>
  <si>
    <t>příspěvek na PAP</t>
  </si>
  <si>
    <t>volba prezidenta ČR</t>
  </si>
  <si>
    <t>volby do zastupitelstev obcí (Drahkov)</t>
  </si>
  <si>
    <t>volby do zastupitelstev krajů</t>
  </si>
  <si>
    <t>MF - VPS</t>
  </si>
  <si>
    <t>služby</t>
  </si>
  <si>
    <t>energie, mater.</t>
  </si>
  <si>
    <t>jiné náklady</t>
  </si>
  <si>
    <t>výnosy z transferů</t>
  </si>
  <si>
    <t>DDM - Velká cena karate, Klub chobotnice</t>
  </si>
  <si>
    <t>MZ</t>
  </si>
  <si>
    <t>příspěvek na LHP</t>
  </si>
  <si>
    <t>MD</t>
  </si>
  <si>
    <t>registr vozidel</t>
  </si>
  <si>
    <t>vráceno v průběhu roku</t>
  </si>
  <si>
    <t>vráceno v r.2013</t>
  </si>
  <si>
    <t>Sociální fond města Blovice v r.2012</t>
  </si>
  <si>
    <t>rozpočet</t>
  </si>
  <si>
    <t>úprava rozp.V.</t>
  </si>
  <si>
    <t>výsledek pol.2012</t>
  </si>
  <si>
    <t>výsledek 3.Q.2012</t>
  </si>
  <si>
    <t>úpr.rozp./výsl.</t>
  </si>
  <si>
    <t xml:space="preserve">Stav prostředků na poč.roku </t>
  </si>
  <si>
    <t>položka příjmů</t>
  </si>
  <si>
    <t xml:space="preserve">Podíl z mezd </t>
  </si>
  <si>
    <t>Celkem:</t>
  </si>
  <si>
    <t>položka výdajů</t>
  </si>
  <si>
    <t>Stravenky</t>
  </si>
  <si>
    <t>Penzijní připojištění</t>
  </si>
  <si>
    <t>Ošacení</t>
  </si>
  <si>
    <t>Dary - 50., odchody do důchodu</t>
  </si>
  <si>
    <t xml:space="preserve">Kulturní akce </t>
  </si>
  <si>
    <t>Rozdíl mezi příjmy a výdaji</t>
  </si>
  <si>
    <t>Stav prostředků SF na konci roku</t>
  </si>
  <si>
    <t>Výsledek hospodaření příspěvkových organizací města Blovice k 31.12.2012</t>
  </si>
  <si>
    <t>náklady</t>
  </si>
  <si>
    <t>výnosy</t>
  </si>
  <si>
    <t xml:space="preserve">HV </t>
  </si>
  <si>
    <t>rozdělení HV</t>
  </si>
  <si>
    <t>FR</t>
  </si>
  <si>
    <t>FO</t>
  </si>
  <si>
    <t>MKS LD</t>
  </si>
  <si>
    <t>ZŠ běžná</t>
  </si>
  <si>
    <t>ZŠ hosp.</t>
  </si>
  <si>
    <t>HV auditovaný</t>
  </si>
  <si>
    <t>MKS LD čerpá z FR</t>
  </si>
  <si>
    <t>sestavil: Ing.Hodek</t>
  </si>
  <si>
    <t>dotace na žáky ZŠ, MŠ, přestupky</t>
  </si>
  <si>
    <t>Stavební úpravy radnice - II.etapa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</si>
</sst>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  <numFmt numFmtId="205" formatCode="0.0000%"/>
    <numFmt numFmtId="206" formatCode="0.00000%"/>
    <numFmt numFmtId="207" formatCode="#,##0.000"/>
    <numFmt numFmtId="208" formatCode="&quot;$&quot;#,##0.00"/>
    <numFmt numFmtId="209" formatCode="#,##0.00\ [$Kč-405];[Red]\-#,##0.00\ [$Kč-405]"/>
    <numFmt numFmtId="210" formatCode="#,##0.00\ _K_č"/>
  </numFmts>
  <fonts count="7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u val="single"/>
      <sz val="12"/>
      <name val="Arial CE"/>
      <family val="2"/>
    </font>
    <font>
      <i/>
      <sz val="10"/>
      <name val="Arial CE"/>
      <family val="0"/>
    </font>
    <font>
      <u val="single"/>
      <sz val="12"/>
      <name val="Arial CE"/>
      <family val="0"/>
    </font>
    <font>
      <i/>
      <sz val="10"/>
      <name val="Arial"/>
      <family val="2"/>
    </font>
    <font>
      <sz val="9"/>
      <name val="Arial CE"/>
      <family val="2"/>
    </font>
    <font>
      <sz val="8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4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165" fontId="0" fillId="0" borderId="0" xfId="51" applyNumberForma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" fontId="10" fillId="0" borderId="36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1" fontId="10" fillId="0" borderId="3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11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" fontId="6" fillId="0" borderId="37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6" fillId="0" borderId="40" xfId="0" applyNumberFormat="1" applyFont="1" applyFill="1" applyBorder="1" applyAlignment="1">
      <alignment/>
    </xf>
    <xf numFmtId="1" fontId="11" fillId="0" borderId="36" xfId="0" applyNumberFormat="1" applyFont="1" applyFill="1" applyBorder="1" applyAlignment="1">
      <alignment/>
    </xf>
    <xf numFmtId="1" fontId="11" fillId="0" borderId="3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6" fillId="0" borderId="43" xfId="0" applyFont="1" applyFill="1" applyBorder="1" applyAlignment="1">
      <alignment/>
    </xf>
    <xf numFmtId="0" fontId="0" fillId="0" borderId="36" xfId="0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48" applyFont="1" applyBorder="1">
      <alignment/>
      <protection/>
    </xf>
    <xf numFmtId="1" fontId="6" fillId="0" borderId="44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37" xfId="0" applyFill="1" applyBorder="1" applyAlignment="1">
      <alignment/>
    </xf>
    <xf numFmtId="0" fontId="6" fillId="0" borderId="31" xfId="0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" fontId="8" fillId="0" borderId="37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" fontId="8" fillId="0" borderId="33" xfId="0" applyNumberFormat="1" applyFont="1" applyFill="1" applyBorder="1" applyAlignment="1">
      <alignment/>
    </xf>
    <xf numFmtId="1" fontId="12" fillId="0" borderId="36" xfId="0" applyNumberFormat="1" applyFont="1" applyFill="1" applyBorder="1" applyAlignment="1">
      <alignment/>
    </xf>
    <xf numFmtId="1" fontId="12" fillId="0" borderId="37" xfId="0" applyNumberFormat="1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1" fontId="2" fillId="0" borderId="37" xfId="0" applyNumberFormat="1" applyFont="1" applyFill="1" applyBorder="1" applyAlignment="1" applyProtection="1">
      <alignment/>
      <protection locked="0"/>
    </xf>
    <xf numFmtId="1" fontId="2" fillId="0" borderId="3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40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1" fontId="14" fillId="0" borderId="3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2" fillId="0" borderId="47" xfId="0" applyNumberFormat="1" applyFont="1" applyFill="1" applyBorder="1" applyAlignment="1">
      <alignment/>
    </xf>
    <xf numFmtId="1" fontId="2" fillId="0" borderId="44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40" xfId="0" applyFont="1" applyFill="1" applyBorder="1" applyAlignment="1">
      <alignment/>
    </xf>
    <xf numFmtId="1" fontId="9" fillId="0" borderId="20" xfId="0" applyNumberFormat="1" applyFont="1" applyFill="1" applyBorder="1" applyAlignment="1">
      <alignment/>
    </xf>
    <xf numFmtId="1" fontId="9" fillId="0" borderId="3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" fontId="6" fillId="0" borderId="48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46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51" applyNumberFormat="1" applyFont="1" applyFill="1" applyBorder="1" applyAlignment="1">
      <alignment/>
    </xf>
    <xf numFmtId="165" fontId="9" fillId="0" borderId="0" xfId="51" applyNumberFormat="1" applyFont="1" applyFill="1" applyBorder="1" applyAlignment="1">
      <alignment/>
    </xf>
    <xf numFmtId="1" fontId="9" fillId="0" borderId="2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6" fillId="0" borderId="20" xfId="48" applyFont="1" applyBorder="1">
      <alignment/>
      <protection/>
    </xf>
    <xf numFmtId="0" fontId="6" fillId="0" borderId="23" xfId="0" applyFont="1" applyFill="1" applyBorder="1" applyAlignment="1">
      <alignment/>
    </xf>
    <xf numFmtId="0" fontId="0" fillId="0" borderId="48" xfId="0" applyFill="1" applyBorder="1" applyAlignment="1">
      <alignment/>
    </xf>
    <xf numFmtId="0" fontId="2" fillId="0" borderId="23" xfId="48" applyFont="1" applyBorder="1">
      <alignment/>
      <protection/>
    </xf>
    <xf numFmtId="1" fontId="2" fillId="0" borderId="50" xfId="0" applyNumberFormat="1" applyFont="1" applyFill="1" applyBorder="1" applyAlignment="1">
      <alignment/>
    </xf>
    <xf numFmtId="0" fontId="6" fillId="0" borderId="23" xfId="48" applyFont="1" applyBorder="1">
      <alignment/>
      <protection/>
    </xf>
    <xf numFmtId="1" fontId="6" fillId="0" borderId="5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" fontId="9" fillId="0" borderId="48" xfId="0" applyNumberFormat="1" applyFont="1" applyFill="1" applyBorder="1" applyAlignment="1">
      <alignment/>
    </xf>
    <xf numFmtId="1" fontId="6" fillId="0" borderId="37" xfId="0" applyNumberFormat="1" applyFont="1" applyFill="1" applyBorder="1" applyAlignment="1" applyProtection="1">
      <alignment/>
      <protection locked="0"/>
    </xf>
    <xf numFmtId="0" fontId="2" fillId="0" borderId="40" xfId="49" applyBorder="1" applyAlignment="1">
      <alignment horizontal="right"/>
      <protection/>
    </xf>
    <xf numFmtId="0" fontId="2" fillId="0" borderId="0" xfId="49">
      <alignment/>
      <protection/>
    </xf>
    <xf numFmtId="0" fontId="6" fillId="0" borderId="31" xfId="49" applyFont="1" applyBorder="1">
      <alignment/>
      <protection/>
    </xf>
    <xf numFmtId="0" fontId="6" fillId="0" borderId="21" xfId="49" applyFont="1" applyBorder="1">
      <alignment/>
      <protection/>
    </xf>
    <xf numFmtId="1" fontId="2" fillId="0" borderId="47" xfId="49" applyNumberFormat="1" applyFont="1" applyBorder="1">
      <alignment/>
      <protection/>
    </xf>
    <xf numFmtId="0" fontId="6" fillId="0" borderId="20" xfId="49" applyFont="1" applyBorder="1">
      <alignment/>
      <protection/>
    </xf>
    <xf numFmtId="0" fontId="6" fillId="0" borderId="33" xfId="49" applyFont="1" applyBorder="1">
      <alignment/>
      <protection/>
    </xf>
    <xf numFmtId="0" fontId="6" fillId="0" borderId="34" xfId="49" applyFont="1" applyBorder="1">
      <alignment/>
      <protection/>
    </xf>
    <xf numFmtId="1" fontId="6" fillId="0" borderId="40" xfId="49" applyNumberFormat="1" applyFont="1" applyBorder="1">
      <alignment/>
      <protection/>
    </xf>
    <xf numFmtId="0" fontId="6" fillId="0" borderId="0" xfId="49" applyFont="1" applyBorder="1">
      <alignment/>
      <protection/>
    </xf>
    <xf numFmtId="0" fontId="2" fillId="0" borderId="0" xfId="49" applyBorder="1">
      <alignment/>
      <protection/>
    </xf>
    <xf numFmtId="0" fontId="2" fillId="0" borderId="0" xfId="49" applyAlignment="1">
      <alignment horizontal="right"/>
      <protection/>
    </xf>
    <xf numFmtId="0" fontId="6" fillId="0" borderId="32" xfId="49" applyFont="1" applyBorder="1">
      <alignment/>
      <protection/>
    </xf>
    <xf numFmtId="0" fontId="6" fillId="0" borderId="21" xfId="49" applyFont="1" applyFill="1" applyBorder="1">
      <alignment/>
      <protection/>
    </xf>
    <xf numFmtId="0" fontId="6" fillId="0" borderId="23" xfId="49" applyFont="1" applyFill="1" applyBorder="1">
      <alignment/>
      <protection/>
    </xf>
    <xf numFmtId="0" fontId="6" fillId="0" borderId="24" xfId="49" applyFont="1" applyBorder="1">
      <alignment/>
      <protection/>
    </xf>
    <xf numFmtId="0" fontId="6" fillId="0" borderId="40" xfId="49" applyFont="1" applyBorder="1">
      <alignment/>
      <protection/>
    </xf>
    <xf numFmtId="0" fontId="6" fillId="0" borderId="10" xfId="49" applyFont="1" applyBorder="1">
      <alignment/>
      <protection/>
    </xf>
    <xf numFmtId="0" fontId="2" fillId="0" borderId="11" xfId="49" applyFont="1" applyBorder="1">
      <alignment/>
      <protection/>
    </xf>
    <xf numFmtId="1" fontId="6" fillId="0" borderId="51" xfId="49" applyNumberFormat="1" applyFont="1" applyBorder="1">
      <alignment/>
      <protection/>
    </xf>
    <xf numFmtId="0" fontId="15" fillId="0" borderId="0" xfId="49" applyFont="1" applyAlignment="1">
      <alignment/>
      <protection/>
    </xf>
    <xf numFmtId="0" fontId="2" fillId="0" borderId="0" xfId="49" applyFont="1" applyAlignment="1">
      <alignment/>
      <protection/>
    </xf>
    <xf numFmtId="2" fontId="9" fillId="0" borderId="0" xfId="0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0" fontId="17" fillId="0" borderId="0" xfId="49" applyFont="1" applyFill="1" applyBorder="1" applyAlignment="1">
      <alignment horizontal="center"/>
      <protection/>
    </xf>
    <xf numFmtId="0" fontId="6" fillId="0" borderId="10" xfId="49" applyFont="1" applyFill="1" applyBorder="1" applyAlignment="1">
      <alignment horizontal="left"/>
      <protection/>
    </xf>
    <xf numFmtId="0" fontId="17" fillId="0" borderId="11" xfId="49" applyFont="1" applyFill="1" applyBorder="1" applyAlignment="1">
      <alignment horizontal="center"/>
      <protection/>
    </xf>
    <xf numFmtId="0" fontId="17" fillId="0" borderId="51" xfId="49" applyFont="1" applyFill="1" applyBorder="1" applyAlignment="1">
      <alignment horizontal="center"/>
      <protection/>
    </xf>
    <xf numFmtId="0" fontId="7" fillId="0" borderId="46" xfId="49" applyFont="1" applyFill="1" applyBorder="1">
      <alignment/>
      <protection/>
    </xf>
    <xf numFmtId="0" fontId="2" fillId="0" borderId="41" xfId="49" applyBorder="1">
      <alignment/>
      <protection/>
    </xf>
    <xf numFmtId="0" fontId="2" fillId="0" borderId="10" xfId="49" applyFont="1" applyBorder="1">
      <alignment/>
      <protection/>
    </xf>
    <xf numFmtId="0" fontId="2" fillId="0" borderId="51" xfId="49" applyFont="1" applyBorder="1">
      <alignment/>
      <protection/>
    </xf>
    <xf numFmtId="0" fontId="2" fillId="0" borderId="10" xfId="49" applyFill="1" applyBorder="1">
      <alignment/>
      <protection/>
    </xf>
    <xf numFmtId="0" fontId="6" fillId="0" borderId="51" xfId="49" applyFont="1" applyFill="1" applyBorder="1">
      <alignment/>
      <protection/>
    </xf>
    <xf numFmtId="0" fontId="2" fillId="0" borderId="10" xfId="49" applyBorder="1">
      <alignment/>
      <protection/>
    </xf>
    <xf numFmtId="9" fontId="2" fillId="0" borderId="51" xfId="51" applyFont="1" applyBorder="1" applyAlignment="1">
      <alignment/>
    </xf>
    <xf numFmtId="0" fontId="2" fillId="0" borderId="46" xfId="49" applyFont="1" applyBorder="1">
      <alignment/>
      <protection/>
    </xf>
    <xf numFmtId="0" fontId="2" fillId="0" borderId="41" xfId="49" applyFont="1" applyFill="1" applyBorder="1">
      <alignment/>
      <protection/>
    </xf>
    <xf numFmtId="0" fontId="2" fillId="0" borderId="42" xfId="49" applyBorder="1">
      <alignment/>
      <protection/>
    </xf>
    <xf numFmtId="0" fontId="2" fillId="0" borderId="0" xfId="49" applyFont="1" applyBorder="1">
      <alignment/>
      <protection/>
    </xf>
    <xf numFmtId="0" fontId="2" fillId="0" borderId="52" xfId="49" applyFont="1" applyBorder="1">
      <alignment/>
      <protection/>
    </xf>
    <xf numFmtId="0" fontId="6" fillId="0" borderId="43" xfId="49" applyFont="1" applyBorder="1">
      <alignment/>
      <protection/>
    </xf>
    <xf numFmtId="0" fontId="6" fillId="0" borderId="52" xfId="49" applyFont="1" applyBorder="1">
      <alignment/>
      <protection/>
    </xf>
    <xf numFmtId="0" fontId="2" fillId="0" borderId="43" xfId="49" applyBorder="1">
      <alignment/>
      <protection/>
    </xf>
    <xf numFmtId="9" fontId="2" fillId="0" borderId="52" xfId="51" applyFont="1" applyBorder="1" applyAlignment="1">
      <alignment/>
    </xf>
    <xf numFmtId="0" fontId="2" fillId="0" borderId="0" xfId="49" applyFont="1" applyFill="1" applyBorder="1">
      <alignment/>
      <protection/>
    </xf>
    <xf numFmtId="0" fontId="2" fillId="0" borderId="52" xfId="49" applyBorder="1">
      <alignment/>
      <protection/>
    </xf>
    <xf numFmtId="0" fontId="2" fillId="0" borderId="45" xfId="49" applyBorder="1">
      <alignment/>
      <protection/>
    </xf>
    <xf numFmtId="0" fontId="2" fillId="0" borderId="53" xfId="49" applyFont="1" applyFill="1" applyBorder="1">
      <alignment/>
      <protection/>
    </xf>
    <xf numFmtId="0" fontId="2" fillId="0" borderId="53" xfId="49" applyBorder="1">
      <alignment/>
      <protection/>
    </xf>
    <xf numFmtId="0" fontId="2" fillId="0" borderId="54" xfId="49" applyBorder="1">
      <alignment/>
      <protection/>
    </xf>
    <xf numFmtId="0" fontId="2" fillId="0" borderId="53" xfId="49" applyFont="1" applyBorder="1">
      <alignment/>
      <protection/>
    </xf>
    <xf numFmtId="0" fontId="2" fillId="0" borderId="54" xfId="49" applyFont="1" applyBorder="1">
      <alignment/>
      <protection/>
    </xf>
    <xf numFmtId="0" fontId="6" fillId="0" borderId="45" xfId="49" applyFont="1" applyBorder="1">
      <alignment/>
      <protection/>
    </xf>
    <xf numFmtId="0" fontId="6" fillId="0" borderId="54" xfId="49" applyFont="1" applyBorder="1">
      <alignment/>
      <protection/>
    </xf>
    <xf numFmtId="9" fontId="2" fillId="0" borderId="54" xfId="51" applyFont="1" applyBorder="1" applyAlignment="1">
      <alignment/>
    </xf>
    <xf numFmtId="0" fontId="2" fillId="0" borderId="41" xfId="49" applyFont="1" applyBorder="1">
      <alignment/>
      <protection/>
    </xf>
    <xf numFmtId="0" fontId="6" fillId="0" borderId="10" xfId="49" applyFont="1" applyBorder="1">
      <alignment/>
      <protection/>
    </xf>
    <xf numFmtId="0" fontId="6" fillId="0" borderId="51" xfId="49" applyFont="1" applyBorder="1">
      <alignment/>
      <protection/>
    </xf>
    <xf numFmtId="0" fontId="18" fillId="0" borderId="41" xfId="49" applyFont="1" applyFill="1" applyBorder="1">
      <alignment/>
      <protection/>
    </xf>
    <xf numFmtId="0" fontId="2" fillId="0" borderId="46" xfId="49" applyBorder="1">
      <alignment/>
      <protection/>
    </xf>
    <xf numFmtId="9" fontId="2" fillId="0" borderId="42" xfId="51" applyFont="1" applyBorder="1" applyAlignment="1">
      <alignment/>
    </xf>
    <xf numFmtId="0" fontId="6" fillId="0" borderId="45" xfId="49" applyFont="1" applyBorder="1">
      <alignment/>
      <protection/>
    </xf>
    <xf numFmtId="0" fontId="6" fillId="0" borderId="55" xfId="49" applyFont="1" applyFill="1" applyBorder="1">
      <alignment/>
      <protection/>
    </xf>
    <xf numFmtId="0" fontId="2" fillId="0" borderId="11" xfId="49" applyBorder="1">
      <alignment/>
      <protection/>
    </xf>
    <xf numFmtId="9" fontId="6" fillId="0" borderId="51" xfId="51" applyFont="1" applyBorder="1" applyAlignment="1">
      <alignment/>
    </xf>
    <xf numFmtId="0" fontId="2" fillId="0" borderId="0" xfId="49" applyFont="1">
      <alignment/>
      <protection/>
    </xf>
    <xf numFmtId="0" fontId="19" fillId="0" borderId="11" xfId="49" applyFont="1" applyFill="1" applyBorder="1" applyAlignment="1">
      <alignment horizontal="center"/>
      <protection/>
    </xf>
    <xf numFmtId="0" fontId="2" fillId="0" borderId="11" xfId="49" applyFill="1" applyBorder="1">
      <alignment/>
      <protection/>
    </xf>
    <xf numFmtId="0" fontId="6" fillId="0" borderId="0" xfId="49" applyFont="1" applyBorder="1">
      <alignment/>
      <protection/>
    </xf>
    <xf numFmtId="0" fontId="6" fillId="0" borderId="53" xfId="49" applyFont="1" applyBorder="1">
      <alignment/>
      <protection/>
    </xf>
    <xf numFmtId="0" fontId="7" fillId="0" borderId="43" xfId="49" applyFont="1" applyFill="1" applyBorder="1">
      <alignment/>
      <protection/>
    </xf>
    <xf numFmtId="0" fontId="6" fillId="0" borderId="11" xfId="49" applyFont="1" applyBorder="1">
      <alignment/>
      <protection/>
    </xf>
    <xf numFmtId="0" fontId="2" fillId="0" borderId="43" xfId="49" applyFont="1" applyBorder="1">
      <alignment/>
      <protection/>
    </xf>
    <xf numFmtId="0" fontId="6" fillId="0" borderId="0" xfId="49" applyFont="1">
      <alignment/>
      <protection/>
    </xf>
    <xf numFmtId="0" fontId="6" fillId="0" borderId="51" xfId="49" applyFont="1" applyFill="1" applyBorder="1">
      <alignment/>
      <protection/>
    </xf>
    <xf numFmtId="0" fontId="6" fillId="0" borderId="46" xfId="49" applyFont="1" applyFill="1" applyBorder="1">
      <alignment/>
      <protection/>
    </xf>
    <xf numFmtId="0" fontId="2" fillId="0" borderId="55" xfId="49" applyFont="1" applyFill="1" applyBorder="1">
      <alignment/>
      <protection/>
    </xf>
    <xf numFmtId="0" fontId="2" fillId="0" borderId="51" xfId="49" applyFont="1" applyFill="1" applyBorder="1">
      <alignment/>
      <protection/>
    </xf>
    <xf numFmtId="0" fontId="6" fillId="0" borderId="55" xfId="49" applyFont="1" applyFill="1" applyBorder="1">
      <alignment/>
      <protection/>
    </xf>
    <xf numFmtId="0" fontId="2" fillId="0" borderId="56" xfId="49" applyFont="1" applyFill="1" applyBorder="1">
      <alignment/>
      <protection/>
    </xf>
    <xf numFmtId="0" fontId="2" fillId="0" borderId="52" xfId="49" applyFont="1" applyFill="1" applyBorder="1">
      <alignment/>
      <protection/>
    </xf>
    <xf numFmtId="0" fontId="6" fillId="0" borderId="56" xfId="49" applyFont="1" applyFill="1" applyBorder="1">
      <alignment/>
      <protection/>
    </xf>
    <xf numFmtId="0" fontId="6" fillId="0" borderId="52" xfId="49" applyFont="1" applyFill="1" applyBorder="1">
      <alignment/>
      <protection/>
    </xf>
    <xf numFmtId="0" fontId="2" fillId="0" borderId="57" xfId="49" applyFont="1" applyFill="1" applyBorder="1">
      <alignment/>
      <protection/>
    </xf>
    <xf numFmtId="0" fontId="2" fillId="0" borderId="54" xfId="49" applyFont="1" applyFill="1" applyBorder="1">
      <alignment/>
      <protection/>
    </xf>
    <xf numFmtId="0" fontId="6" fillId="0" borderId="57" xfId="49" applyFont="1" applyFill="1" applyBorder="1">
      <alignment/>
      <protection/>
    </xf>
    <xf numFmtId="0" fontId="6" fillId="0" borderId="54" xfId="49" applyFont="1" applyFill="1" applyBorder="1">
      <alignment/>
      <protection/>
    </xf>
    <xf numFmtId="9" fontId="2" fillId="0" borderId="58" xfId="51" applyFont="1" applyBorder="1" applyAlignment="1">
      <alignment/>
    </xf>
    <xf numFmtId="0" fontId="6" fillId="0" borderId="59" xfId="49" applyFont="1" applyBorder="1">
      <alignment/>
      <protection/>
    </xf>
    <xf numFmtId="0" fontId="2" fillId="0" borderId="60" xfId="49" applyBorder="1">
      <alignment/>
      <protection/>
    </xf>
    <xf numFmtId="0" fontId="2" fillId="0" borderId="59" xfId="49" applyFont="1" applyBorder="1">
      <alignment/>
      <protection/>
    </xf>
    <xf numFmtId="0" fontId="2" fillId="0" borderId="61" xfId="49" applyFont="1" applyBorder="1">
      <alignment/>
      <protection/>
    </xf>
    <xf numFmtId="0" fontId="6" fillId="0" borderId="61" xfId="49" applyFont="1" applyBorder="1">
      <alignment/>
      <protection/>
    </xf>
    <xf numFmtId="9" fontId="6" fillId="0" borderId="54" xfId="51" applyFont="1" applyBorder="1" applyAlignment="1">
      <alignment/>
    </xf>
    <xf numFmtId="9" fontId="2" fillId="0" borderId="0" xfId="51" applyFont="1" applyBorder="1" applyAlignment="1">
      <alignment/>
    </xf>
    <xf numFmtId="9" fontId="6" fillId="0" borderId="52" xfId="51" applyFont="1" applyBorder="1" applyAlignment="1">
      <alignment/>
    </xf>
    <xf numFmtId="0" fontId="2" fillId="0" borderId="53" xfId="49" applyFill="1" applyBorder="1">
      <alignment/>
      <protection/>
    </xf>
    <xf numFmtId="0" fontId="6" fillId="0" borderId="22" xfId="49" applyFont="1" applyBorder="1">
      <alignment/>
      <protection/>
    </xf>
    <xf numFmtId="0" fontId="2" fillId="0" borderId="62" xfId="49" applyBorder="1">
      <alignment/>
      <protection/>
    </xf>
    <xf numFmtId="9" fontId="6" fillId="0" borderId="44" xfId="51" applyFont="1" applyBorder="1" applyAlignment="1">
      <alignment/>
    </xf>
    <xf numFmtId="0" fontId="6" fillId="0" borderId="46" xfId="49" applyFont="1" applyBorder="1">
      <alignment/>
      <protection/>
    </xf>
    <xf numFmtId="0" fontId="2" fillId="0" borderId="46" xfId="49" applyNumberFormat="1" applyFont="1" applyBorder="1">
      <alignment/>
      <protection/>
    </xf>
    <xf numFmtId="0" fontId="2" fillId="0" borderId="42" xfId="49" applyNumberFormat="1" applyFont="1" applyBorder="1">
      <alignment/>
      <protection/>
    </xf>
    <xf numFmtId="0" fontId="6" fillId="0" borderId="46" xfId="49" applyNumberFormat="1" applyFont="1" applyBorder="1">
      <alignment/>
      <protection/>
    </xf>
    <xf numFmtId="0" fontId="6" fillId="0" borderId="42" xfId="49" applyNumberFormat="1" applyFont="1" applyBorder="1">
      <alignment/>
      <protection/>
    </xf>
    <xf numFmtId="0" fontId="2" fillId="0" borderId="43" xfId="49" applyNumberFormat="1" applyFont="1" applyBorder="1">
      <alignment/>
      <protection/>
    </xf>
    <xf numFmtId="0" fontId="2" fillId="0" borderId="52" xfId="49" applyNumberFormat="1" applyFont="1" applyBorder="1">
      <alignment/>
      <protection/>
    </xf>
    <xf numFmtId="0" fontId="6" fillId="0" borderId="43" xfId="49" applyNumberFormat="1" applyFont="1" applyBorder="1">
      <alignment/>
      <protection/>
    </xf>
    <xf numFmtId="0" fontId="6" fillId="0" borderId="52" xfId="49" applyNumberFormat="1" applyFont="1" applyBorder="1">
      <alignment/>
      <protection/>
    </xf>
    <xf numFmtId="10" fontId="2" fillId="0" borderId="0" xfId="49" applyNumberFormat="1" applyBorder="1">
      <alignment/>
      <protection/>
    </xf>
    <xf numFmtId="0" fontId="2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vertical="top" wrapText="1"/>
    </xf>
    <xf numFmtId="4" fontId="0" fillId="0" borderId="21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/>
    </xf>
    <xf numFmtId="4" fontId="16" fillId="0" borderId="21" xfId="0" applyNumberFormat="1" applyFont="1" applyBorder="1" applyAlignment="1">
      <alignment horizontal="right"/>
    </xf>
    <xf numFmtId="0" fontId="2" fillId="33" borderId="11" xfId="49" applyFont="1" applyFill="1" applyBorder="1">
      <alignment/>
      <protection/>
    </xf>
    <xf numFmtId="0" fontId="6" fillId="33" borderId="51" xfId="49" applyFont="1" applyFill="1" applyBorder="1">
      <alignment/>
      <protection/>
    </xf>
    <xf numFmtId="0" fontId="2" fillId="33" borderId="51" xfId="49" applyFont="1" applyFill="1" applyBorder="1">
      <alignment/>
      <protection/>
    </xf>
    <xf numFmtId="0" fontId="6" fillId="33" borderId="51" xfId="49" applyFont="1" applyFill="1" applyBorder="1">
      <alignment/>
      <protection/>
    </xf>
    <xf numFmtId="0" fontId="2" fillId="33" borderId="54" xfId="49" applyFont="1" applyFill="1" applyBorder="1">
      <alignment/>
      <protection/>
    </xf>
    <xf numFmtId="0" fontId="6" fillId="33" borderId="57" xfId="49" applyFont="1" applyFill="1" applyBorder="1">
      <alignment/>
      <protection/>
    </xf>
    <xf numFmtId="0" fontId="6" fillId="33" borderId="54" xfId="49" applyFont="1" applyFill="1" applyBorder="1">
      <alignment/>
      <protection/>
    </xf>
    <xf numFmtId="2" fontId="2" fillId="33" borderId="51" xfId="49" applyNumberFormat="1" applyFont="1" applyFill="1" applyBorder="1">
      <alignment/>
      <protection/>
    </xf>
    <xf numFmtId="2" fontId="6" fillId="33" borderId="10" xfId="49" applyNumberFormat="1" applyFont="1" applyFill="1" applyBorder="1">
      <alignment/>
      <protection/>
    </xf>
    <xf numFmtId="2" fontId="6" fillId="33" borderId="51" xfId="49" applyNumberFormat="1" applyFont="1" applyFill="1" applyBorder="1">
      <alignment/>
      <protection/>
    </xf>
    <xf numFmtId="2" fontId="2" fillId="33" borderId="10" xfId="49" applyNumberFormat="1" applyFont="1" applyFill="1" applyBorder="1">
      <alignment/>
      <protection/>
    </xf>
    <xf numFmtId="4" fontId="2" fillId="0" borderId="21" xfId="0" applyNumberFormat="1" applyFont="1" applyBorder="1" applyAlignment="1">
      <alignment/>
    </xf>
    <xf numFmtId="0" fontId="21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vertical="top" wrapText="1"/>
    </xf>
    <xf numFmtId="0" fontId="5" fillId="0" borderId="0" xfId="47" applyFont="1" applyFill="1" applyBorder="1" applyAlignment="1">
      <alignment/>
      <protection/>
    </xf>
    <xf numFmtId="0" fontId="2" fillId="0" borderId="0" xfId="47">
      <alignment/>
      <protection/>
    </xf>
    <xf numFmtId="0" fontId="5" fillId="0" borderId="0" xfId="47" applyFont="1" applyFill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" fillId="0" borderId="0" xfId="47" applyAlignment="1">
      <alignment horizontal="center"/>
      <protection/>
    </xf>
    <xf numFmtId="0" fontId="24" fillId="0" borderId="10" xfId="47" applyFont="1" applyFill="1" applyBorder="1" applyAlignment="1">
      <alignment vertical="top" wrapText="1"/>
      <protection/>
    </xf>
    <xf numFmtId="44" fontId="15" fillId="0" borderId="55" xfId="39" applyNumberFormat="1" applyFont="1" applyFill="1" applyBorder="1" applyAlignment="1">
      <alignment/>
    </xf>
    <xf numFmtId="165" fontId="2" fillId="0" borderId="0" xfId="51" applyNumberFormat="1" applyFont="1" applyAlignment="1">
      <alignment/>
    </xf>
    <xf numFmtId="0" fontId="25" fillId="0" borderId="55" xfId="47" applyFont="1" applyBorder="1" applyAlignment="1">
      <alignment horizontal="center"/>
      <protection/>
    </xf>
    <xf numFmtId="0" fontId="5" fillId="0" borderId="55" xfId="47" applyFont="1" applyBorder="1" applyAlignment="1">
      <alignment horizontal="center"/>
      <protection/>
    </xf>
    <xf numFmtId="0" fontId="26" fillId="0" borderId="63" xfId="47" applyFont="1" applyBorder="1" applyAlignment="1">
      <alignment vertical="top" wrapText="1"/>
      <protection/>
    </xf>
    <xf numFmtId="190" fontId="27" fillId="0" borderId="63" xfId="39" applyNumberFormat="1" applyFont="1" applyBorder="1" applyAlignment="1">
      <alignment/>
    </xf>
    <xf numFmtId="44" fontId="27" fillId="0" borderId="63" xfId="39" applyNumberFormat="1" applyFont="1" applyBorder="1" applyAlignment="1">
      <alignment/>
    </xf>
    <xf numFmtId="0" fontId="24" fillId="0" borderId="55" xfId="47" applyFont="1" applyBorder="1" applyAlignment="1">
      <alignment vertical="top" wrapText="1"/>
      <protection/>
    </xf>
    <xf numFmtId="190" fontId="15" fillId="0" borderId="55" xfId="39" applyNumberFormat="1" applyFont="1" applyBorder="1" applyAlignment="1">
      <alignment/>
    </xf>
    <xf numFmtId="44" fontId="15" fillId="0" borderId="55" xfId="39" applyNumberFormat="1" applyFont="1" applyBorder="1" applyAlignment="1">
      <alignment/>
    </xf>
    <xf numFmtId="0" fontId="24" fillId="0" borderId="0" xfId="47" applyFont="1" applyBorder="1" applyAlignment="1">
      <alignment vertical="top" wrapText="1"/>
      <protection/>
    </xf>
    <xf numFmtId="44" fontId="15" fillId="0" borderId="0" xfId="39" applyFont="1" applyBorder="1" applyAlignment="1">
      <alignment/>
    </xf>
    <xf numFmtId="44" fontId="15" fillId="0" borderId="0" xfId="39" applyNumberFormat="1" applyFont="1" applyBorder="1" applyAlignment="1">
      <alignment/>
    </xf>
    <xf numFmtId="44" fontId="2" fillId="0" borderId="0" xfId="47" applyNumberFormat="1">
      <alignment/>
      <protection/>
    </xf>
    <xf numFmtId="0" fontId="25" fillId="0" borderId="10" xfId="47" applyFont="1" applyBorder="1" applyAlignment="1">
      <alignment horizontal="center"/>
      <protection/>
    </xf>
    <xf numFmtId="44" fontId="5" fillId="0" borderId="55" xfId="47" applyNumberFormat="1" applyFont="1" applyBorder="1" applyAlignment="1">
      <alignment horizontal="center"/>
      <protection/>
    </xf>
    <xf numFmtId="0" fontId="26" fillId="0" borderId="64" xfId="47" applyFont="1" applyBorder="1" applyAlignment="1">
      <alignment vertical="top" wrapText="1"/>
      <protection/>
    </xf>
    <xf numFmtId="190" fontId="27" fillId="0" borderId="63" xfId="39" applyNumberFormat="1" applyFont="1" applyBorder="1" applyAlignment="1">
      <alignment/>
    </xf>
    <xf numFmtId="44" fontId="27" fillId="0" borderId="63" xfId="39" applyNumberFormat="1" applyFont="1" applyBorder="1" applyAlignment="1">
      <alignment/>
    </xf>
    <xf numFmtId="0" fontId="26" fillId="0" borderId="65" xfId="47" applyFont="1" applyBorder="1" applyAlignment="1">
      <alignment vertical="top" wrapText="1"/>
      <protection/>
    </xf>
    <xf numFmtId="190" fontId="27" fillId="0" borderId="66" xfId="39" applyNumberFormat="1" applyFont="1" applyBorder="1" applyAlignment="1">
      <alignment/>
    </xf>
    <xf numFmtId="44" fontId="27" fillId="0" borderId="66" xfId="39" applyNumberFormat="1" applyFont="1" applyBorder="1" applyAlignment="1">
      <alignment/>
    </xf>
    <xf numFmtId="0" fontId="26" fillId="0" borderId="67" xfId="47" applyFont="1" applyBorder="1" applyAlignment="1">
      <alignment vertical="top" wrapText="1"/>
      <protection/>
    </xf>
    <xf numFmtId="190" fontId="27" fillId="0" borderId="68" xfId="39" applyNumberFormat="1" applyFont="1" applyBorder="1" applyAlignment="1">
      <alignment/>
    </xf>
    <xf numFmtId="44" fontId="27" fillId="0" borderId="68" xfId="39" applyNumberFormat="1" applyFont="1" applyBorder="1" applyAlignment="1">
      <alignment/>
    </xf>
    <xf numFmtId="0" fontId="24" fillId="0" borderId="10" xfId="47" applyFont="1" applyBorder="1" applyAlignment="1">
      <alignment vertical="top" wrapText="1"/>
      <protection/>
    </xf>
    <xf numFmtId="44" fontId="15" fillId="0" borderId="55" xfId="47" applyNumberFormat="1" applyFont="1" applyBorder="1">
      <alignment/>
      <protection/>
    </xf>
    <xf numFmtId="49" fontId="24" fillId="0" borderId="10" xfId="47" applyNumberFormat="1" applyFont="1" applyFill="1" applyBorder="1" applyAlignment="1">
      <alignment vertical="top" wrapText="1"/>
      <protection/>
    </xf>
    <xf numFmtId="0" fontId="0" fillId="0" borderId="46" xfId="0" applyBorder="1" applyAlignment="1">
      <alignment/>
    </xf>
    <xf numFmtId="0" fontId="16" fillId="0" borderId="69" xfId="0" applyFont="1" applyBorder="1" applyAlignment="1">
      <alignment horizontal="center"/>
    </xf>
    <xf numFmtId="0" fontId="0" fillId="0" borderId="43" xfId="0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0" fillId="0" borderId="70" xfId="0" applyBorder="1" applyAlignment="1">
      <alignment/>
    </xf>
    <xf numFmtId="4" fontId="0" fillId="0" borderId="3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71" xfId="0" applyNumberFormat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0" fontId="0" fillId="0" borderId="63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33" borderId="71" xfId="0" applyNumberFormat="1" applyFill="1" applyBorder="1" applyAlignment="1">
      <alignment/>
    </xf>
    <xf numFmtId="4" fontId="0" fillId="33" borderId="31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68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0" fillId="0" borderId="72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0" fillId="0" borderId="56" xfId="0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14" fontId="2" fillId="0" borderId="51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51" xfId="0" applyNumberFormat="1" applyFont="1" applyFill="1" applyBorder="1" applyAlignment="1">
      <alignment horizontal="center"/>
    </xf>
    <xf numFmtId="0" fontId="18" fillId="0" borderId="46" xfId="49" applyFont="1" applyFill="1" applyBorder="1" applyAlignment="1">
      <alignment horizontal="center"/>
      <protection/>
    </xf>
    <xf numFmtId="0" fontId="18" fillId="0" borderId="42" xfId="49" applyFont="1" applyFill="1" applyBorder="1" applyAlignment="1">
      <alignment horizontal="center"/>
      <protection/>
    </xf>
    <xf numFmtId="0" fontId="7" fillId="0" borderId="46" xfId="49" applyFont="1" applyFill="1" applyBorder="1" applyAlignment="1">
      <alignment horizontal="center"/>
      <protection/>
    </xf>
    <xf numFmtId="0" fontId="7" fillId="0" borderId="42" xfId="49" applyFont="1" applyFill="1" applyBorder="1" applyAlignment="1">
      <alignment horizontal="center"/>
      <protection/>
    </xf>
    <xf numFmtId="0" fontId="7" fillId="0" borderId="46" xfId="49" applyFont="1" applyBorder="1" applyAlignment="1">
      <alignment horizontal="center"/>
      <protection/>
    </xf>
    <xf numFmtId="0" fontId="7" fillId="0" borderId="42" xfId="49" applyFont="1" applyBorder="1" applyAlignment="1">
      <alignment horizontal="center"/>
      <protection/>
    </xf>
    <xf numFmtId="0" fontId="7" fillId="0" borderId="10" xfId="49" applyFont="1" applyFill="1" applyBorder="1" applyAlignment="1">
      <alignment horizontal="center"/>
      <protection/>
    </xf>
    <xf numFmtId="0" fontId="7" fillId="0" borderId="51" xfId="49" applyFont="1" applyFill="1" applyBorder="1" applyAlignment="1">
      <alignment horizontal="center"/>
      <protection/>
    </xf>
    <xf numFmtId="0" fontId="7" fillId="0" borderId="41" xfId="49" applyFont="1" applyBorder="1" applyAlignment="1">
      <alignment horizontal="center"/>
      <protection/>
    </xf>
    <xf numFmtId="0" fontId="17" fillId="0" borderId="0" xfId="49" applyFont="1" applyFill="1" applyBorder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7" fillId="0" borderId="51" xfId="49" applyFont="1" applyBorder="1" applyAlignment="1">
      <alignment horizontal="center"/>
      <protection/>
    </xf>
    <xf numFmtId="0" fontId="17" fillId="0" borderId="0" xfId="49" applyFont="1" applyAlignment="1">
      <alignment horizontal="center"/>
      <protection/>
    </xf>
    <xf numFmtId="0" fontId="7" fillId="0" borderId="11" xfId="49" applyFont="1" applyBorder="1" applyAlignment="1">
      <alignment horizontal="center"/>
      <protection/>
    </xf>
    <xf numFmtId="0" fontId="18" fillId="0" borderId="10" xfId="49" applyFont="1" applyBorder="1" applyAlignment="1">
      <alignment horizontal="center"/>
      <protection/>
    </xf>
    <xf numFmtId="0" fontId="18" fillId="0" borderId="11" xfId="49" applyFont="1" applyBorder="1" applyAlignment="1">
      <alignment horizontal="center"/>
      <protection/>
    </xf>
    <xf numFmtId="0" fontId="15" fillId="0" borderId="33" xfId="49" applyFont="1" applyBorder="1" applyAlignment="1">
      <alignment horizontal="center"/>
      <protection/>
    </xf>
    <xf numFmtId="0" fontId="15" fillId="0" borderId="34" xfId="49" applyFont="1" applyBorder="1" applyAlignment="1">
      <alignment horizontal="center"/>
      <protection/>
    </xf>
    <xf numFmtId="0" fontId="15" fillId="0" borderId="10" xfId="49" applyFont="1" applyBorder="1" applyAlignment="1">
      <alignment horizontal="center"/>
      <protection/>
    </xf>
    <xf numFmtId="0" fontId="15" fillId="0" borderId="73" xfId="49" applyFont="1" applyBorder="1" applyAlignment="1">
      <alignment horizontal="center"/>
      <protection/>
    </xf>
    <xf numFmtId="0" fontId="28" fillId="0" borderId="53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48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6" xfId="0" applyFont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oc_fond" xfId="47"/>
    <cellStyle name="normální_V.úprava rozpočtu" xfId="48"/>
    <cellStyle name="normální_závěrečný účet 2008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výdajů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9B9B9B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hPercent val="50"/>
      <c:rotY val="360"/>
      <c:depthPercent val="100"/>
      <c:rAngAx val="1"/>
    </c:view3D>
    <c:plotArea>
      <c:layout>
        <c:manualLayout>
          <c:xMode val="edge"/>
          <c:yMode val="edge"/>
          <c:x val="0.241"/>
          <c:y val="0.27325"/>
          <c:w val="0.54825"/>
          <c:h val="0.56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graf!$B$20:$B$28</c:f>
              <c:strCache/>
            </c:strRef>
          </c:cat>
          <c:val>
            <c:numRef>
              <c:f>graf!$C$20:$C$28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příjmů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D4D4D4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625"/>
          <c:y val="0.32325"/>
          <c:w val="0.53875"/>
          <c:h val="0.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graf!$B$2:$B$10</c:f>
              <c:strCache/>
            </c:strRef>
          </c:cat>
          <c:val>
            <c:numRef>
              <c:f>graf!$C$2:$C$10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Příjmy (tis.Kč)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3C3C3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0"/>
      <c:rotY val="16"/>
      <c:depthPercent val="100"/>
      <c:rAngAx val="1"/>
    </c:view3D>
    <c:plotArea>
      <c:layout>
        <c:manualLayout>
          <c:xMode val="edge"/>
          <c:yMode val="edge"/>
          <c:x val="0.017"/>
          <c:y val="0.0885"/>
          <c:w val="0.9755"/>
          <c:h val="0.9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graf!$B$2</c:f>
              <c:strCache>
                <c:ptCount val="1"/>
                <c:pt idx="0">
                  <c:v>Dotace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</c:f>
              <c:numCache/>
            </c:numRef>
          </c:val>
          <c:shape val="box"/>
        </c:ser>
        <c:ser>
          <c:idx val="1"/>
          <c:order val="1"/>
          <c:tx>
            <c:strRef>
              <c:f>graf!$B$3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graf!$C$3</c:f>
              <c:numCache/>
            </c:numRef>
          </c:val>
          <c:shape val="box"/>
        </c:ser>
        <c:ser>
          <c:idx val="2"/>
          <c:order val="2"/>
          <c:tx>
            <c:strRef>
              <c:f>graf!$B$4</c:f>
              <c:strCache>
                <c:ptCount val="1"/>
                <c:pt idx="0">
                  <c:v>Poplatky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graf!$C$4</c:f>
              <c:numCache/>
            </c:numRef>
          </c:val>
          <c:shape val="box"/>
        </c:ser>
        <c:ser>
          <c:idx val="3"/>
          <c:order val="3"/>
          <c:tx>
            <c:strRef>
              <c:f>graf!$B$5</c:f>
              <c:strCache>
                <c:ptCount val="1"/>
                <c:pt idx="0">
                  <c:v>Prodeje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graf!$C$5</c:f>
              <c:numCache/>
            </c:numRef>
          </c:val>
          <c:shape val="box"/>
        </c:ser>
        <c:ser>
          <c:idx val="4"/>
          <c:order val="4"/>
          <c:tx>
            <c:strRef>
              <c:f>graf!$B$6</c:f>
              <c:strCache>
                <c:ptCount val="1"/>
                <c:pt idx="0">
                  <c:v>Nájmy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graf!$C$6</c:f>
              <c:numCache/>
            </c:numRef>
          </c:val>
          <c:shape val="box"/>
        </c:ser>
        <c:ser>
          <c:idx val="5"/>
          <c:order val="5"/>
          <c:tx>
            <c:strRef>
              <c:f>graf!$B$7</c:f>
              <c:strCache>
                <c:ptCount val="1"/>
                <c:pt idx="0">
                  <c:v>Lesy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graf!$C$7</c:f>
              <c:numCache/>
            </c:numRef>
          </c:val>
          <c:shape val="box"/>
        </c:ser>
        <c:ser>
          <c:idx val="6"/>
          <c:order val="6"/>
          <c:tx>
            <c:strRef>
              <c:f>graf!$B$8</c:f>
              <c:strCache>
                <c:ptCount val="1"/>
                <c:pt idx="0">
                  <c:v>BH převod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graf!$C$8</c:f>
              <c:numCache/>
            </c:numRef>
          </c:val>
          <c:shape val="box"/>
        </c:ser>
        <c:ser>
          <c:idx val="7"/>
          <c:order val="7"/>
          <c:tx>
            <c:strRef>
              <c:f>graf!$B$9</c:f>
              <c:strCache>
                <c:ptCount val="1"/>
                <c:pt idx="0">
                  <c:v>Zvl. příjmy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graf!$C$9</c:f>
              <c:numCache/>
            </c:numRef>
          </c:val>
          <c:shape val="box"/>
        </c:ser>
        <c:ser>
          <c:idx val="8"/>
          <c:order val="8"/>
          <c:tx>
            <c:strRef>
              <c:f>graf!$B$10</c:f>
              <c:strCache>
                <c:ptCount val="1"/>
                <c:pt idx="0">
                  <c:v>Fondy po kons.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graf!$C$10</c:f>
              <c:numCache/>
            </c:numRef>
          </c:val>
          <c:shape val="box"/>
        </c:ser>
        <c:shape val="box"/>
        <c:axId val="53854222"/>
        <c:axId val="14925951"/>
      </c:bar3DChart>
      <c:catAx>
        <c:axId val="5385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kapitoly rozpočtu (tis.Kč)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4925951"/>
        <c:crosses val="autoZero"/>
        <c:auto val="1"/>
        <c:lblOffset val="100"/>
        <c:tickLblSkip val="1"/>
        <c:noMultiLvlLbl val="0"/>
      </c:catAx>
      <c:valAx>
        <c:axId val="149259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4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75"/>
          <c:y val="0"/>
          <c:w val="0.23725"/>
          <c:h val="0.6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Výdaje (tis.Kč)</a:t>
            </a:r>
          </a:p>
        </c:rich>
      </c:tx>
      <c:layout>
        <c:manualLayout>
          <c:xMode val="factor"/>
          <c:yMode val="factor"/>
          <c:x val="0.00375"/>
          <c:y val="0.00575"/>
        </c:manualLayout>
      </c:layout>
      <c:spPr>
        <a:gradFill rotWithShape="1">
          <a:gsLst>
            <a:gs pos="0">
              <a:srgbClr val="FFFFFF"/>
            </a:gs>
            <a:gs pos="100000">
              <a:srgbClr val="C9C9C9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23"/>
          <c:w val="0.97325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graf!$B$20</c:f>
              <c:strCache>
                <c:ptCount val="1"/>
                <c:pt idx="0">
                  <c:v>Školství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graf!$C$20</c:f>
              <c:numCache/>
            </c:numRef>
          </c:val>
          <c:shape val="box"/>
        </c:ser>
        <c:ser>
          <c:idx val="1"/>
          <c:order val="1"/>
          <c:tx>
            <c:strRef>
              <c:f>graf!$B$21</c:f>
              <c:strCache>
                <c:ptCount val="1"/>
                <c:pt idx="0">
                  <c:v>Správa MěÚ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graf!$C$21</c:f>
              <c:numCache/>
            </c:numRef>
          </c:val>
          <c:shape val="box"/>
        </c:ser>
        <c:ser>
          <c:idx val="2"/>
          <c:order val="2"/>
          <c:tx>
            <c:strRef>
              <c:f>graf!$B$22</c:f>
              <c:strCache>
                <c:ptCount val="1"/>
                <c:pt idx="0">
                  <c:v>Kultura a 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graf!$C$22</c:f>
              <c:numCache/>
            </c:numRef>
          </c:val>
          <c:shape val="box"/>
        </c:ser>
        <c:ser>
          <c:idx val="3"/>
          <c:order val="3"/>
          <c:tx>
            <c:strRef>
              <c:f>graf!$B$23</c:f>
              <c:strCache>
                <c:ptCount val="1"/>
                <c:pt idx="0">
                  <c:v>Rozvoj města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graf!$C$23</c:f>
              <c:numCache/>
            </c:numRef>
          </c:val>
          <c:shape val="box"/>
        </c:ser>
        <c:ser>
          <c:idx val="4"/>
          <c:order val="4"/>
          <c:tx>
            <c:strRef>
              <c:f>graf!$B$24</c:f>
              <c:strCache>
                <c:ptCount val="1"/>
                <c:pt idx="0">
                  <c:v>Údržba města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graf!$C$24</c:f>
              <c:numCache/>
            </c:numRef>
          </c:val>
          <c:shape val="box"/>
        </c:ser>
        <c:ser>
          <c:idx val="5"/>
          <c:order val="5"/>
          <c:tx>
            <c:strRef>
              <c:f>graf!$B$25</c:f>
              <c:strCache>
                <c:ptCount val="1"/>
                <c:pt idx="0">
                  <c:v>Různé výdaje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graf!$C$25</c:f>
              <c:numCache/>
            </c:numRef>
          </c:val>
          <c:shape val="box"/>
        </c:ser>
        <c:ser>
          <c:idx val="6"/>
          <c:order val="6"/>
          <c:tx>
            <c:strRef>
              <c:f>graf!$B$26</c:f>
              <c:strCache>
                <c:ptCount val="1"/>
                <c:pt idx="0">
                  <c:v>Soc.věci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graf!$C$26</c:f>
              <c:numCache/>
            </c:numRef>
          </c:val>
          <c:shape val="box"/>
        </c:ser>
        <c:ser>
          <c:idx val="7"/>
          <c:order val="7"/>
          <c:tx>
            <c:strRef>
              <c:f>graf!$B$27</c:f>
              <c:strCache>
                <c:ptCount val="1"/>
                <c:pt idx="0">
                  <c:v>Lesy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graf!$C$27</c:f>
              <c:numCache/>
            </c:numRef>
          </c:val>
          <c:shape val="box"/>
        </c:ser>
        <c:ser>
          <c:idx val="8"/>
          <c:order val="8"/>
          <c:tx>
            <c:strRef>
              <c:f>graf!$B$28</c:f>
              <c:strCache>
                <c:ptCount val="1"/>
                <c:pt idx="0">
                  <c:v>Fondy po kons.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graf!$C$28</c:f>
              <c:numCache/>
            </c:numRef>
          </c:val>
          <c:shape val="box"/>
        </c:ser>
        <c:shape val="box"/>
        <c:axId val="115832"/>
        <c:axId val="1042489"/>
      </c:bar3DChart>
      <c:catAx>
        <c:axId val="115832"/>
        <c:scaling>
          <c:orientation val="minMax"/>
        </c:scaling>
        <c:axPos val="b"/>
        <c:delete val="1"/>
        <c:majorTickMark val="out"/>
        <c:minorTickMark val="none"/>
        <c:tickLblPos val="none"/>
        <c:crossAx val="1042489"/>
        <c:crosses val="autoZero"/>
        <c:auto val="1"/>
        <c:lblOffset val="100"/>
        <c:tickLblSkip val="1"/>
        <c:noMultiLvlLbl val="0"/>
      </c:catAx>
      <c:valAx>
        <c:axId val="104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25275"/>
          <c:h val="0.6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</xdr:row>
      <xdr:rowOff>9525</xdr:rowOff>
    </xdr:from>
    <xdr:to>
      <xdr:col>11</xdr:col>
      <xdr:colOff>9525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2038350" y="3248025"/>
        <a:ext cx="4705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11</xdr:col>
      <xdr:colOff>19050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2038350" y="0"/>
        <a:ext cx="47148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20</xdr:col>
      <xdr:colOff>285750</xdr:colOff>
      <xdr:row>17</xdr:row>
      <xdr:rowOff>57150</xdr:rowOff>
    </xdr:to>
    <xdr:graphicFrame>
      <xdr:nvGraphicFramePr>
        <xdr:cNvPr id="3" name="Chart 3"/>
        <xdr:cNvGraphicFramePr/>
      </xdr:nvGraphicFramePr>
      <xdr:xfrm>
        <a:off x="6753225" y="0"/>
        <a:ext cx="51054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17</xdr:row>
      <xdr:rowOff>57150</xdr:rowOff>
    </xdr:from>
    <xdr:to>
      <xdr:col>20</xdr:col>
      <xdr:colOff>276225</xdr:colOff>
      <xdr:row>35</xdr:row>
      <xdr:rowOff>57150</xdr:rowOff>
    </xdr:to>
    <xdr:graphicFrame>
      <xdr:nvGraphicFramePr>
        <xdr:cNvPr id="4" name="Chart 4"/>
        <xdr:cNvGraphicFramePr/>
      </xdr:nvGraphicFramePr>
      <xdr:xfrm>
        <a:off x="6753225" y="3295650"/>
        <a:ext cx="509587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7"/>
  <sheetViews>
    <sheetView tabSelected="1" zoomScalePageLayoutView="0" workbookViewId="0" topLeftCell="A1">
      <selection activeCell="N90" sqref="N90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2.28125" style="0" customWidth="1"/>
    <col min="5" max="5" width="0.42578125" style="126" hidden="1" customWidth="1"/>
    <col min="6" max="7" width="0.71875" style="126" hidden="1" customWidth="1"/>
    <col min="8" max="8" width="0.13671875" style="126" hidden="1" customWidth="1"/>
    <col min="9" max="10" width="9.7109375" style="126" hidden="1" customWidth="1"/>
    <col min="11" max="11" width="7.421875" style="126" customWidth="1"/>
    <col min="12" max="12" width="7.8515625" style="126" customWidth="1"/>
    <col min="13" max="13" width="7.57421875" style="126" customWidth="1"/>
    <col min="14" max="14" width="7.7109375" style="126" bestFit="1" customWidth="1"/>
    <col min="15" max="15" width="7.7109375" style="126" customWidth="1"/>
    <col min="16" max="16" width="11.00390625" style="0" customWidth="1"/>
  </cols>
  <sheetData>
    <row r="1" spans="1:15" ht="18.75" thickBot="1">
      <c r="A1" s="1" t="s">
        <v>0</v>
      </c>
      <c r="B1" s="2"/>
      <c r="C1" s="2"/>
      <c r="D1" s="2"/>
      <c r="E1" s="376" t="s">
        <v>132</v>
      </c>
      <c r="F1" s="377"/>
      <c r="G1" s="376" t="s">
        <v>141</v>
      </c>
      <c r="H1" s="377"/>
      <c r="I1" s="376" t="s">
        <v>150</v>
      </c>
      <c r="J1" s="377"/>
      <c r="K1" s="378" t="s">
        <v>159</v>
      </c>
      <c r="L1" s="379"/>
      <c r="M1" s="378" t="s">
        <v>161</v>
      </c>
      <c r="N1" s="379"/>
      <c r="O1" s="149" t="s">
        <v>162</v>
      </c>
    </row>
    <row r="2" spans="1:15" ht="13.5" thickBot="1">
      <c r="A2" s="3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  <c r="G2" s="6"/>
      <c r="H2" s="7" t="s">
        <v>5</v>
      </c>
      <c r="I2" s="6"/>
      <c r="J2" s="7" t="s">
        <v>5</v>
      </c>
      <c r="K2" s="6"/>
      <c r="L2" s="7" t="s">
        <v>5</v>
      </c>
      <c r="M2" s="6"/>
      <c r="N2" s="7" t="s">
        <v>5</v>
      </c>
      <c r="O2" s="150"/>
    </row>
    <row r="3" spans="1:17" ht="12.75">
      <c r="A3" s="8" t="s">
        <v>6</v>
      </c>
      <c r="B3" s="9" t="s">
        <v>7</v>
      </c>
      <c r="C3" s="9">
        <v>1</v>
      </c>
      <c r="D3" s="10" t="s">
        <v>8</v>
      </c>
      <c r="E3" s="70">
        <f>10483.3+814</f>
        <v>11297.3</v>
      </c>
      <c r="F3" s="71"/>
      <c r="G3" s="70">
        <f>10483.3+814</f>
        <v>11297.3</v>
      </c>
      <c r="H3" s="71"/>
      <c r="I3" s="70">
        <f>10483.3+814</f>
        <v>11297.3</v>
      </c>
      <c r="J3" s="71"/>
      <c r="K3" s="70">
        <f>10483.3+803.84+29+70+20+212+10</f>
        <v>11628.14</v>
      </c>
      <c r="L3" s="71"/>
      <c r="M3" s="146">
        <f>10483.3+29+70+20+10+212+804</f>
        <v>11628.3</v>
      </c>
      <c r="N3" s="71"/>
      <c r="O3" s="151">
        <f>+M3/K3</f>
        <v>1.000013759724255</v>
      </c>
      <c r="Q3" s="162"/>
    </row>
    <row r="4" spans="1:17" ht="12.75">
      <c r="A4" s="12"/>
      <c r="B4" s="13"/>
      <c r="C4" s="13">
        <f aca="true" t="shared" si="0" ref="C4:C14">+C3+1</f>
        <v>2</v>
      </c>
      <c r="D4" s="14" t="s">
        <v>9</v>
      </c>
      <c r="E4" s="72">
        <f>812.58+960</f>
        <v>1772.58</v>
      </c>
      <c r="F4" s="73"/>
      <c r="G4" s="72">
        <f>812.58+960</f>
        <v>1772.58</v>
      </c>
      <c r="H4" s="73"/>
      <c r="I4" s="72">
        <f>812.58+960</f>
        <v>1772.58</v>
      </c>
      <c r="J4" s="73"/>
      <c r="K4" s="72">
        <f>812.58+960</f>
        <v>1772.58</v>
      </c>
      <c r="L4" s="73"/>
      <c r="M4" s="128">
        <f>812.58+807</f>
        <v>1619.58</v>
      </c>
      <c r="N4" s="73"/>
      <c r="O4" s="151">
        <f aca="true" t="shared" si="1" ref="O4:O66">+M4/K4</f>
        <v>0.9136851369190672</v>
      </c>
      <c r="Q4" s="163"/>
    </row>
    <row r="5" spans="1:17" ht="12.75">
      <c r="A5" s="15"/>
      <c r="B5" s="16"/>
      <c r="C5" s="13">
        <v>4</v>
      </c>
      <c r="D5" s="14" t="s">
        <v>10</v>
      </c>
      <c r="E5" s="72">
        <v>456</v>
      </c>
      <c r="F5" s="74"/>
      <c r="G5" s="72">
        <v>456</v>
      </c>
      <c r="H5" s="74"/>
      <c r="I5" s="72">
        <v>456</v>
      </c>
      <c r="J5" s="74"/>
      <c r="K5" s="72">
        <v>228</v>
      </c>
      <c r="L5" s="74"/>
      <c r="M5" s="128">
        <v>228</v>
      </c>
      <c r="N5" s="74"/>
      <c r="O5" s="151">
        <f t="shared" si="1"/>
        <v>1</v>
      </c>
      <c r="Q5" s="163"/>
    </row>
    <row r="6" spans="1:17" ht="12.75">
      <c r="A6" s="15"/>
      <c r="B6" s="16"/>
      <c r="C6" s="13">
        <f t="shared" si="0"/>
        <v>5</v>
      </c>
      <c r="D6" s="17" t="s">
        <v>11</v>
      </c>
      <c r="E6" s="72">
        <v>0</v>
      </c>
      <c r="F6" s="74"/>
      <c r="G6" s="72">
        <v>323</v>
      </c>
      <c r="H6" s="74"/>
      <c r="I6" s="72">
        <v>323</v>
      </c>
      <c r="J6" s="74"/>
      <c r="K6" s="72">
        <f>323-0.08</f>
        <v>322.92</v>
      </c>
      <c r="L6" s="74"/>
      <c r="M6" s="128">
        <v>323</v>
      </c>
      <c r="N6" s="74"/>
      <c r="O6" s="151">
        <f t="shared" si="1"/>
        <v>1.0002477393781741</v>
      </c>
      <c r="Q6" s="163"/>
    </row>
    <row r="7" spans="1:17" ht="12.75">
      <c r="A7" s="15"/>
      <c r="B7" s="16"/>
      <c r="C7" s="13">
        <f t="shared" si="0"/>
        <v>6</v>
      </c>
      <c r="D7" s="18" t="s">
        <v>12</v>
      </c>
      <c r="E7" s="72">
        <v>0</v>
      </c>
      <c r="F7" s="74"/>
      <c r="G7" s="72">
        <v>100</v>
      </c>
      <c r="H7" s="74"/>
      <c r="I7" s="72">
        <v>150</v>
      </c>
      <c r="J7" s="74"/>
      <c r="K7" s="72">
        <v>426.69</v>
      </c>
      <c r="L7" s="74"/>
      <c r="M7" s="128">
        <f>305+126</f>
        <v>431</v>
      </c>
      <c r="N7" s="74"/>
      <c r="O7" s="151">
        <f t="shared" si="1"/>
        <v>1.0101010101010102</v>
      </c>
      <c r="Q7" s="163"/>
    </row>
    <row r="8" spans="1:17" ht="12.75">
      <c r="A8" s="15"/>
      <c r="B8" s="16"/>
      <c r="C8" s="13">
        <f t="shared" si="0"/>
        <v>7</v>
      </c>
      <c r="D8" s="18" t="s">
        <v>13</v>
      </c>
      <c r="E8" s="72">
        <v>0</v>
      </c>
      <c r="F8" s="74"/>
      <c r="G8" s="72">
        <v>0</v>
      </c>
      <c r="H8" s="74"/>
      <c r="I8" s="72">
        <v>100</v>
      </c>
      <c r="J8" s="74"/>
      <c r="K8" s="72">
        <f>89+283+305</f>
        <v>677</v>
      </c>
      <c r="L8" s="74"/>
      <c r="M8" s="128">
        <f>89+283+305</f>
        <v>677</v>
      </c>
      <c r="N8" s="74"/>
      <c r="O8" s="151">
        <f t="shared" si="1"/>
        <v>1</v>
      </c>
      <c r="Q8" s="195"/>
    </row>
    <row r="9" spans="1:17" ht="12.75">
      <c r="A9" s="15"/>
      <c r="B9" s="16"/>
      <c r="C9" s="13">
        <f t="shared" si="0"/>
        <v>8</v>
      </c>
      <c r="D9" s="19" t="s">
        <v>14</v>
      </c>
      <c r="E9" s="72">
        <v>0</v>
      </c>
      <c r="F9" s="74"/>
      <c r="G9" s="72">
        <v>0</v>
      </c>
      <c r="H9" s="74"/>
      <c r="I9" s="72">
        <v>925</v>
      </c>
      <c r="J9" s="74"/>
      <c r="K9" s="72">
        <v>925</v>
      </c>
      <c r="L9" s="74"/>
      <c r="M9" s="128">
        <v>925</v>
      </c>
      <c r="N9" s="74"/>
      <c r="O9" s="151">
        <f t="shared" si="1"/>
        <v>1</v>
      </c>
      <c r="Q9" s="164"/>
    </row>
    <row r="10" spans="1:17" ht="12.75">
      <c r="A10" s="15"/>
      <c r="B10" s="16"/>
      <c r="C10" s="13">
        <f t="shared" si="0"/>
        <v>9</v>
      </c>
      <c r="D10" s="19" t="s">
        <v>142</v>
      </c>
      <c r="E10" s="72"/>
      <c r="F10" s="74"/>
      <c r="G10" s="72"/>
      <c r="H10" s="74"/>
      <c r="I10" s="72">
        <v>413</v>
      </c>
      <c r="J10" s="74"/>
      <c r="K10" s="72">
        <v>404</v>
      </c>
      <c r="L10" s="74"/>
      <c r="M10" s="128">
        <v>404</v>
      </c>
      <c r="N10" s="74"/>
      <c r="O10" s="151">
        <f t="shared" si="1"/>
        <v>1</v>
      </c>
      <c r="Q10" s="163"/>
    </row>
    <row r="11" spans="1:17" ht="12.75">
      <c r="A11" s="15"/>
      <c r="B11" s="16"/>
      <c r="C11" s="13">
        <f t="shared" si="0"/>
        <v>10</v>
      </c>
      <c r="D11" s="19" t="s">
        <v>145</v>
      </c>
      <c r="E11" s="72"/>
      <c r="F11" s="74"/>
      <c r="G11" s="72"/>
      <c r="H11" s="74"/>
      <c r="I11" s="72">
        <v>439</v>
      </c>
      <c r="J11" s="74"/>
      <c r="K11" s="72">
        <v>439.67</v>
      </c>
      <c r="L11" s="74"/>
      <c r="M11" s="128">
        <v>440</v>
      </c>
      <c r="N11" s="74"/>
      <c r="O11" s="151">
        <f t="shared" si="1"/>
        <v>1.0007505629221916</v>
      </c>
      <c r="Q11" s="163"/>
    </row>
    <row r="12" spans="1:17" ht="12.75">
      <c r="A12" s="15"/>
      <c r="B12" s="16"/>
      <c r="C12" s="13">
        <f t="shared" si="0"/>
        <v>11</v>
      </c>
      <c r="D12" s="19" t="s">
        <v>149</v>
      </c>
      <c r="E12" s="72"/>
      <c r="F12" s="74"/>
      <c r="G12" s="72"/>
      <c r="H12" s="74"/>
      <c r="I12" s="72">
        <v>200</v>
      </c>
      <c r="J12" s="74"/>
      <c r="K12" s="72">
        <v>200</v>
      </c>
      <c r="L12" s="74"/>
      <c r="M12" s="128">
        <v>200</v>
      </c>
      <c r="N12" s="74"/>
      <c r="O12" s="151">
        <f t="shared" si="1"/>
        <v>1</v>
      </c>
      <c r="Q12" s="164"/>
    </row>
    <row r="13" spans="1:17" ht="12.75">
      <c r="A13" s="15"/>
      <c r="B13" s="16"/>
      <c r="C13" s="13">
        <f t="shared" si="0"/>
        <v>12</v>
      </c>
      <c r="D13" s="19" t="s">
        <v>100</v>
      </c>
      <c r="E13" s="72"/>
      <c r="F13" s="74"/>
      <c r="G13" s="72"/>
      <c r="H13" s="74"/>
      <c r="I13" s="72"/>
      <c r="J13" s="74"/>
      <c r="K13" s="72">
        <v>100</v>
      </c>
      <c r="L13" s="74"/>
      <c r="M13" s="128">
        <v>100</v>
      </c>
      <c r="N13" s="74"/>
      <c r="O13" s="151">
        <f t="shared" si="1"/>
        <v>1</v>
      </c>
      <c r="Q13" s="163"/>
    </row>
    <row r="14" spans="1:17" ht="12.75">
      <c r="A14" s="15"/>
      <c r="B14" s="16"/>
      <c r="C14" s="13">
        <f t="shared" si="0"/>
        <v>13</v>
      </c>
      <c r="D14" s="19" t="s">
        <v>15</v>
      </c>
      <c r="E14" s="75">
        <v>0</v>
      </c>
      <c r="F14" s="74"/>
      <c r="G14" s="75">
        <f>69+31</f>
        <v>100</v>
      </c>
      <c r="H14" s="74"/>
      <c r="I14" s="75">
        <v>9</v>
      </c>
      <c r="J14" s="74"/>
      <c r="K14" s="75">
        <f>9+10+30+6+62+45+14+87</f>
        <v>263</v>
      </c>
      <c r="L14" s="74"/>
      <c r="M14" s="132">
        <f>9+10+30+6+62+45+14+87</f>
        <v>263</v>
      </c>
      <c r="N14" s="74"/>
      <c r="O14" s="151">
        <f t="shared" si="1"/>
        <v>1</v>
      </c>
      <c r="Q14" s="163"/>
    </row>
    <row r="15" spans="1:17" ht="13.5" thickBot="1">
      <c r="A15" s="20"/>
      <c r="B15" s="21"/>
      <c r="C15" s="21"/>
      <c r="D15" s="22" t="s">
        <v>5</v>
      </c>
      <c r="E15" s="76"/>
      <c r="F15" s="77">
        <f>SUM(E3:E14)</f>
        <v>13525.88</v>
      </c>
      <c r="G15" s="76"/>
      <c r="H15" s="77">
        <f>SUM(G3:G14)</f>
        <v>14048.88</v>
      </c>
      <c r="I15" s="76"/>
      <c r="J15" s="77">
        <f>SUM(I3:I14)</f>
        <v>16084.88</v>
      </c>
      <c r="K15" s="76"/>
      <c r="L15" s="77">
        <f>SUM(K3:K14)</f>
        <v>17387</v>
      </c>
      <c r="M15" s="76"/>
      <c r="N15" s="129">
        <f>SUM(M3:M14)</f>
        <v>17238.879999999997</v>
      </c>
      <c r="O15" s="152">
        <f>+N15/L15</f>
        <v>0.9914809915454074</v>
      </c>
      <c r="Q15" s="165"/>
    </row>
    <row r="16" spans="1:15" ht="12.75">
      <c r="A16" s="23" t="s">
        <v>16</v>
      </c>
      <c r="B16" s="24" t="s">
        <v>17</v>
      </c>
      <c r="C16" s="24">
        <v>1</v>
      </c>
      <c r="D16" s="17" t="s">
        <v>18</v>
      </c>
      <c r="E16" s="78">
        <v>3000</v>
      </c>
      <c r="F16" s="79"/>
      <c r="G16" s="78">
        <v>3000</v>
      </c>
      <c r="H16" s="79"/>
      <c r="I16" s="78">
        <v>3000</v>
      </c>
      <c r="J16" s="79"/>
      <c r="K16" s="78">
        <v>2700</v>
      </c>
      <c r="L16" s="79"/>
      <c r="M16" s="130">
        <v>2772</v>
      </c>
      <c r="N16" s="79"/>
      <c r="O16" s="151">
        <f t="shared" si="1"/>
        <v>1.0266666666666666</v>
      </c>
    </row>
    <row r="17" spans="1:15" ht="12.75">
      <c r="A17" s="12"/>
      <c r="B17" s="13"/>
      <c r="C17" s="13">
        <v>2</v>
      </c>
      <c r="D17" s="14" t="s">
        <v>19</v>
      </c>
      <c r="E17" s="72">
        <f>6600+440+13700+550+5860</f>
        <v>27150</v>
      </c>
      <c r="F17" s="74"/>
      <c r="G17" s="72">
        <f>6600+440+13700+550+5860</f>
        <v>27150</v>
      </c>
      <c r="H17" s="74"/>
      <c r="I17" s="72">
        <f>6600+440+13700+550+5860</f>
        <v>27150</v>
      </c>
      <c r="J17" s="74"/>
      <c r="K17" s="72">
        <f>6600+440+13700+550+5860+350</f>
        <v>27500</v>
      </c>
      <c r="L17" s="74"/>
      <c r="M17" s="128">
        <f>6447+13398+631+659+6627</f>
        <v>27762</v>
      </c>
      <c r="N17" s="74"/>
      <c r="O17" s="151">
        <f t="shared" si="1"/>
        <v>1.0095272727272728</v>
      </c>
    </row>
    <row r="18" spans="1:15" ht="12.75">
      <c r="A18" s="12"/>
      <c r="B18" s="13"/>
      <c r="C18" s="13">
        <v>3</v>
      </c>
      <c r="D18" s="14" t="s">
        <v>20</v>
      </c>
      <c r="E18" s="75">
        <v>1000</v>
      </c>
      <c r="F18" s="74"/>
      <c r="G18" s="75">
        <v>570</v>
      </c>
      <c r="H18" s="74"/>
      <c r="I18" s="75">
        <v>570</v>
      </c>
      <c r="J18" s="74"/>
      <c r="K18" s="75">
        <v>570</v>
      </c>
      <c r="L18" s="74"/>
      <c r="M18" s="132">
        <v>570</v>
      </c>
      <c r="N18" s="74"/>
      <c r="O18" s="151">
        <f t="shared" si="1"/>
        <v>1</v>
      </c>
    </row>
    <row r="19" spans="1:15" ht="13.5" thickBot="1">
      <c r="A19" s="20"/>
      <c r="B19" s="21"/>
      <c r="C19" s="21"/>
      <c r="D19" s="22" t="s">
        <v>21</v>
      </c>
      <c r="E19" s="76"/>
      <c r="F19" s="77">
        <f>SUM(E16:E18)</f>
        <v>31150</v>
      </c>
      <c r="G19" s="76"/>
      <c r="H19" s="77">
        <f>SUM(G16:G18)</f>
        <v>30720</v>
      </c>
      <c r="I19" s="76"/>
      <c r="J19" s="77">
        <f>SUM(I16:I18)</f>
        <v>30720</v>
      </c>
      <c r="K19" s="76"/>
      <c r="L19" s="77">
        <f>SUM(K16:K18)</f>
        <v>30770</v>
      </c>
      <c r="M19" s="80"/>
      <c r="N19" s="171">
        <f>SUM(M16:M18)</f>
        <v>31104</v>
      </c>
      <c r="O19" s="152">
        <f>+N19/L19</f>
        <v>1.0108547286317842</v>
      </c>
    </row>
    <row r="20" spans="1:15" ht="12.75">
      <c r="A20" s="12" t="s">
        <v>22</v>
      </c>
      <c r="B20" s="24" t="s">
        <v>23</v>
      </c>
      <c r="C20" s="13">
        <v>1</v>
      </c>
      <c r="D20" s="14" t="s">
        <v>24</v>
      </c>
      <c r="E20" s="75">
        <v>1250</v>
      </c>
      <c r="F20" s="74"/>
      <c r="G20" s="75">
        <v>1250</v>
      </c>
      <c r="H20" s="74"/>
      <c r="I20" s="75">
        <v>1250</v>
      </c>
      <c r="J20" s="74"/>
      <c r="K20" s="75">
        <v>1250</v>
      </c>
      <c r="L20" s="168"/>
      <c r="M20" s="196">
        <f>1086+49+34</f>
        <v>1169</v>
      </c>
      <c r="N20" s="71"/>
      <c r="O20" s="151">
        <f t="shared" si="1"/>
        <v>0.9352</v>
      </c>
    </row>
    <row r="21" spans="1:15" ht="12.75">
      <c r="A21" s="12"/>
      <c r="B21" s="13"/>
      <c r="C21" s="13">
        <f aca="true" t="shared" si="2" ref="C21:C30">+C20+1</f>
        <v>2</v>
      </c>
      <c r="D21" s="14" t="s">
        <v>25</v>
      </c>
      <c r="E21" s="75">
        <v>350</v>
      </c>
      <c r="F21" s="74"/>
      <c r="G21" s="75">
        <v>350</v>
      </c>
      <c r="H21" s="74"/>
      <c r="I21" s="75">
        <v>350</v>
      </c>
      <c r="J21" s="74"/>
      <c r="K21" s="75">
        <v>350</v>
      </c>
      <c r="L21" s="168"/>
      <c r="M21" s="197">
        <v>259</v>
      </c>
      <c r="N21" s="74"/>
      <c r="O21" s="151">
        <f t="shared" si="1"/>
        <v>0.74</v>
      </c>
    </row>
    <row r="22" spans="1:15" ht="12.75">
      <c r="A22" s="12"/>
      <c r="B22" s="13"/>
      <c r="C22" s="13">
        <f t="shared" si="2"/>
        <v>3</v>
      </c>
      <c r="D22" s="14" t="s">
        <v>26</v>
      </c>
      <c r="E22" s="75">
        <v>130</v>
      </c>
      <c r="F22" s="74"/>
      <c r="G22" s="75">
        <v>130</v>
      </c>
      <c r="H22" s="74"/>
      <c r="I22" s="75">
        <v>130</v>
      </c>
      <c r="J22" s="74"/>
      <c r="K22" s="75">
        <v>130</v>
      </c>
      <c r="L22" s="168"/>
      <c r="M22" s="197">
        <v>123</v>
      </c>
      <c r="N22" s="74"/>
      <c r="O22" s="151">
        <f t="shared" si="1"/>
        <v>0.9461538461538461</v>
      </c>
    </row>
    <row r="23" spans="1:15" ht="12.75">
      <c r="A23" s="12"/>
      <c r="B23" s="13"/>
      <c r="C23" s="13">
        <f t="shared" si="2"/>
        <v>4</v>
      </c>
      <c r="D23" s="14" t="s">
        <v>27</v>
      </c>
      <c r="E23" s="75">
        <v>240</v>
      </c>
      <c r="F23" s="74"/>
      <c r="G23" s="75">
        <v>240</v>
      </c>
      <c r="H23" s="74"/>
      <c r="I23" s="75">
        <v>240</v>
      </c>
      <c r="J23" s="74"/>
      <c r="K23" s="75">
        <v>240</v>
      </c>
      <c r="L23" s="168"/>
      <c r="M23" s="197">
        <f>148+30</f>
        <v>178</v>
      </c>
      <c r="N23" s="74"/>
      <c r="O23" s="151">
        <f t="shared" si="1"/>
        <v>0.7416666666666667</v>
      </c>
    </row>
    <row r="24" spans="1:15" ht="12.75">
      <c r="A24" s="12"/>
      <c r="B24" s="13"/>
      <c r="C24" s="13">
        <f t="shared" si="2"/>
        <v>5</v>
      </c>
      <c r="D24" s="14" t="s">
        <v>28</v>
      </c>
      <c r="E24" s="75">
        <v>220</v>
      </c>
      <c r="F24" s="74"/>
      <c r="G24" s="75">
        <v>220</v>
      </c>
      <c r="H24" s="74"/>
      <c r="I24" s="75">
        <v>220</v>
      </c>
      <c r="J24" s="74"/>
      <c r="K24" s="75">
        <v>220</v>
      </c>
      <c r="L24" s="168"/>
      <c r="M24" s="197">
        <v>153</v>
      </c>
      <c r="N24" s="74"/>
      <c r="O24" s="151">
        <f t="shared" si="1"/>
        <v>0.6954545454545454</v>
      </c>
    </row>
    <row r="25" spans="1:15" ht="12.75">
      <c r="A25" s="12"/>
      <c r="B25" s="13" t="s">
        <v>29</v>
      </c>
      <c r="C25" s="13">
        <f t="shared" si="2"/>
        <v>6</v>
      </c>
      <c r="D25" s="14" t="s">
        <v>30</v>
      </c>
      <c r="E25" s="75">
        <v>1800</v>
      </c>
      <c r="F25" s="74"/>
      <c r="G25" s="75">
        <v>1800</v>
      </c>
      <c r="H25" s="74"/>
      <c r="I25" s="75">
        <v>1800</v>
      </c>
      <c r="J25" s="74"/>
      <c r="K25" s="75">
        <v>1800</v>
      </c>
      <c r="L25" s="168"/>
      <c r="M25" s="132">
        <f>1444+40+347-241</f>
        <v>1590</v>
      </c>
      <c r="N25" s="74"/>
      <c r="O25" s="151">
        <f t="shared" si="1"/>
        <v>0.8833333333333333</v>
      </c>
    </row>
    <row r="26" spans="1:15" ht="12.75">
      <c r="A26" s="12"/>
      <c r="B26" s="13" t="s">
        <v>31</v>
      </c>
      <c r="C26" s="13">
        <f t="shared" si="2"/>
        <v>7</v>
      </c>
      <c r="D26" s="14" t="s">
        <v>32</v>
      </c>
      <c r="E26" s="75">
        <v>112</v>
      </c>
      <c r="F26" s="74"/>
      <c r="G26" s="75">
        <v>112</v>
      </c>
      <c r="H26" s="74"/>
      <c r="I26" s="75">
        <v>112</v>
      </c>
      <c r="J26" s="74"/>
      <c r="K26" s="75">
        <v>112</v>
      </c>
      <c r="L26" s="168"/>
      <c r="M26" s="132">
        <v>108</v>
      </c>
      <c r="N26" s="74"/>
      <c r="O26" s="151">
        <f t="shared" si="1"/>
        <v>0.9642857142857143</v>
      </c>
    </row>
    <row r="27" spans="1:15" ht="12.75">
      <c r="A27" s="12"/>
      <c r="B27" s="13"/>
      <c r="C27" s="13">
        <f t="shared" si="2"/>
        <v>8</v>
      </c>
      <c r="D27" s="14" t="s">
        <v>33</v>
      </c>
      <c r="E27" s="75">
        <v>198</v>
      </c>
      <c r="F27" s="74"/>
      <c r="G27" s="75">
        <v>198</v>
      </c>
      <c r="H27" s="74"/>
      <c r="I27" s="75">
        <v>198</v>
      </c>
      <c r="J27" s="74"/>
      <c r="K27" s="75">
        <v>198</v>
      </c>
      <c r="L27" s="168"/>
      <c r="M27" s="132">
        <v>188</v>
      </c>
      <c r="N27" s="74"/>
      <c r="O27" s="151">
        <f t="shared" si="1"/>
        <v>0.9494949494949495</v>
      </c>
    </row>
    <row r="28" spans="1:15" ht="12.75">
      <c r="A28" s="12"/>
      <c r="B28" s="13"/>
      <c r="C28" s="13">
        <f t="shared" si="2"/>
        <v>9</v>
      </c>
      <c r="D28" s="14" t="s">
        <v>34</v>
      </c>
      <c r="E28" s="75">
        <v>60</v>
      </c>
      <c r="F28" s="74"/>
      <c r="G28" s="75">
        <v>60</v>
      </c>
      <c r="H28" s="74"/>
      <c r="I28" s="75">
        <v>60</v>
      </c>
      <c r="J28" s="74"/>
      <c r="K28" s="75">
        <v>60</v>
      </c>
      <c r="L28" s="168"/>
      <c r="M28" s="132">
        <f>30+17</f>
        <v>47</v>
      </c>
      <c r="N28" s="74"/>
      <c r="O28" s="151">
        <f t="shared" si="1"/>
        <v>0.7833333333333333</v>
      </c>
    </row>
    <row r="29" spans="1:15" ht="12.75">
      <c r="A29" s="15"/>
      <c r="B29" s="16"/>
      <c r="C29" s="13">
        <f t="shared" si="2"/>
        <v>10</v>
      </c>
      <c r="D29" s="19" t="s">
        <v>35</v>
      </c>
      <c r="E29" s="80">
        <v>2135</v>
      </c>
      <c r="F29" s="81"/>
      <c r="G29" s="80">
        <v>2135</v>
      </c>
      <c r="H29" s="81"/>
      <c r="I29" s="80">
        <v>2135</v>
      </c>
      <c r="J29" s="81"/>
      <c r="K29" s="80">
        <v>2135</v>
      </c>
      <c r="L29" s="169"/>
      <c r="M29" s="132">
        <v>2130</v>
      </c>
      <c r="N29" s="74"/>
      <c r="O29" s="151">
        <f t="shared" si="1"/>
        <v>0.9976580796252927</v>
      </c>
    </row>
    <row r="30" spans="1:15" ht="12.75">
      <c r="A30" s="15"/>
      <c r="B30" s="16" t="s">
        <v>36</v>
      </c>
      <c r="C30" s="13">
        <f t="shared" si="2"/>
        <v>11</v>
      </c>
      <c r="D30" s="19" t="s">
        <v>37</v>
      </c>
      <c r="E30" s="80">
        <v>170</v>
      </c>
      <c r="F30" s="81"/>
      <c r="G30" s="80">
        <v>170</v>
      </c>
      <c r="H30" s="81"/>
      <c r="I30" s="80">
        <v>170</v>
      </c>
      <c r="J30" s="81"/>
      <c r="K30" s="80">
        <v>170</v>
      </c>
      <c r="L30" s="169"/>
      <c r="M30" s="132">
        <f>89+81-23</f>
        <v>147</v>
      </c>
      <c r="N30" s="74"/>
      <c r="O30" s="151">
        <f t="shared" si="1"/>
        <v>0.8647058823529412</v>
      </c>
    </row>
    <row r="31" spans="1:15" ht="13.5" thickBot="1">
      <c r="A31" s="20"/>
      <c r="B31" s="21"/>
      <c r="C31" s="21"/>
      <c r="D31" s="22" t="s">
        <v>21</v>
      </c>
      <c r="E31" s="76"/>
      <c r="F31" s="82">
        <f>SUM(E20:E30)</f>
        <v>6665</v>
      </c>
      <c r="G31" s="76"/>
      <c r="H31" s="82">
        <f>SUM(G20:G30)</f>
        <v>6665</v>
      </c>
      <c r="I31" s="76"/>
      <c r="J31" s="82">
        <f>SUM(I20:I30)</f>
        <v>6665</v>
      </c>
      <c r="K31" s="76"/>
      <c r="L31" s="170">
        <f>SUM(K20:K30)</f>
        <v>6665</v>
      </c>
      <c r="M31" s="76"/>
      <c r="N31" s="148">
        <f>SUM(M20:M30)</f>
        <v>6092</v>
      </c>
      <c r="O31" s="152">
        <f>+N31/L31</f>
        <v>0.9140285071267817</v>
      </c>
    </row>
    <row r="32" spans="1:15" ht="12.75">
      <c r="A32" s="8" t="s">
        <v>38</v>
      </c>
      <c r="B32" s="9" t="s">
        <v>39</v>
      </c>
      <c r="C32" s="9">
        <v>1</v>
      </c>
      <c r="D32" s="10" t="s">
        <v>40</v>
      </c>
      <c r="E32" s="83">
        <v>238</v>
      </c>
      <c r="F32" s="71"/>
      <c r="G32" s="83">
        <v>238</v>
      </c>
      <c r="H32" s="71"/>
      <c r="I32" s="83">
        <v>238</v>
      </c>
      <c r="J32" s="71"/>
      <c r="K32" s="83">
        <v>250</v>
      </c>
      <c r="L32" s="71"/>
      <c r="M32" s="130">
        <f>3816-3572</f>
        <v>244</v>
      </c>
      <c r="N32" s="79"/>
      <c r="O32" s="151">
        <f t="shared" si="1"/>
        <v>0.976</v>
      </c>
    </row>
    <row r="33" spans="1:15" ht="12.75">
      <c r="A33" s="12"/>
      <c r="B33" s="13" t="s">
        <v>41</v>
      </c>
      <c r="C33" s="13">
        <v>2</v>
      </c>
      <c r="D33" s="14" t="s">
        <v>42</v>
      </c>
      <c r="E33" s="75">
        <v>4000</v>
      </c>
      <c r="F33" s="74"/>
      <c r="G33" s="75">
        <v>4000</v>
      </c>
      <c r="H33" s="74"/>
      <c r="I33" s="75">
        <v>3950</v>
      </c>
      <c r="J33" s="74"/>
      <c r="K33" s="75">
        <v>3950</v>
      </c>
      <c r="L33" s="74"/>
      <c r="M33" s="132">
        <v>3572</v>
      </c>
      <c r="N33" s="74"/>
      <c r="O33" s="151">
        <f t="shared" si="1"/>
        <v>0.9043037974683544</v>
      </c>
    </row>
    <row r="34" spans="1:15" ht="12.75">
      <c r="A34" s="15"/>
      <c r="B34" s="16"/>
      <c r="C34" s="13">
        <v>3</v>
      </c>
      <c r="D34" s="19" t="s">
        <v>43</v>
      </c>
      <c r="E34" s="80">
        <v>2500</v>
      </c>
      <c r="F34" s="81"/>
      <c r="G34" s="80">
        <v>2500</v>
      </c>
      <c r="H34" s="81"/>
      <c r="I34" s="80">
        <v>2550</v>
      </c>
      <c r="J34" s="81"/>
      <c r="K34" s="80">
        <v>100</v>
      </c>
      <c r="L34" s="81"/>
      <c r="M34" s="154">
        <v>71</v>
      </c>
      <c r="N34" s="81"/>
      <c r="O34" s="151">
        <f t="shared" si="1"/>
        <v>0.71</v>
      </c>
    </row>
    <row r="35" spans="1:15" ht="12.75">
      <c r="A35" s="15"/>
      <c r="B35" s="16"/>
      <c r="C35" s="13">
        <v>4</v>
      </c>
      <c r="D35" s="19" t="s">
        <v>152</v>
      </c>
      <c r="E35" s="80"/>
      <c r="F35" s="81"/>
      <c r="G35" s="80"/>
      <c r="H35" s="81"/>
      <c r="I35" s="80"/>
      <c r="J35" s="81"/>
      <c r="K35" s="80">
        <v>70</v>
      </c>
      <c r="L35" s="81"/>
      <c r="M35" s="154">
        <f>25+25+20</f>
        <v>70</v>
      </c>
      <c r="N35" s="81"/>
      <c r="O35" s="151">
        <f t="shared" si="1"/>
        <v>1</v>
      </c>
    </row>
    <row r="36" spans="1:15" ht="12.75">
      <c r="A36" s="15"/>
      <c r="B36" s="16"/>
      <c r="C36" s="13">
        <v>5</v>
      </c>
      <c r="D36" s="19" t="s">
        <v>44</v>
      </c>
      <c r="E36" s="80">
        <f>24*12</f>
        <v>288</v>
      </c>
      <c r="F36" s="81"/>
      <c r="G36" s="80">
        <f>24*12</f>
        <v>288</v>
      </c>
      <c r="H36" s="81"/>
      <c r="I36" s="80">
        <f>24*12</f>
        <v>288</v>
      </c>
      <c r="J36" s="81"/>
      <c r="K36" s="80">
        <f>24*12</f>
        <v>288</v>
      </c>
      <c r="L36" s="81"/>
      <c r="M36" s="154">
        <f>24*12</f>
        <v>288</v>
      </c>
      <c r="N36" s="81"/>
      <c r="O36" s="151">
        <f t="shared" si="1"/>
        <v>1</v>
      </c>
    </row>
    <row r="37" spans="1:15" ht="13.5" thickBot="1">
      <c r="A37" s="20"/>
      <c r="B37" s="21"/>
      <c r="C37" s="21"/>
      <c r="D37" s="22" t="s">
        <v>21</v>
      </c>
      <c r="E37" s="76"/>
      <c r="F37" s="82">
        <f>SUM(E32:E36)</f>
        <v>7026</v>
      </c>
      <c r="G37" s="76"/>
      <c r="H37" s="82">
        <f>SUM(G32:G36)</f>
        <v>7026</v>
      </c>
      <c r="I37" s="76"/>
      <c r="J37" s="82">
        <f>SUM(I32:I36)</f>
        <v>7026</v>
      </c>
      <c r="K37" s="76"/>
      <c r="L37" s="82">
        <f>SUM(K32:K36)</f>
        <v>4658</v>
      </c>
      <c r="M37" s="166"/>
      <c r="N37" s="148">
        <f>SUM(M32:M36)</f>
        <v>4245</v>
      </c>
      <c r="O37" s="152">
        <f>+N37/L37</f>
        <v>0.9113353370545298</v>
      </c>
    </row>
    <row r="38" spans="1:15" ht="12.75">
      <c r="A38" s="8" t="s">
        <v>45</v>
      </c>
      <c r="B38" s="25" t="s">
        <v>46</v>
      </c>
      <c r="C38" s="25">
        <v>1</v>
      </c>
      <c r="D38" s="10" t="s">
        <v>47</v>
      </c>
      <c r="E38" s="83">
        <v>134</v>
      </c>
      <c r="F38" s="71"/>
      <c r="G38" s="83">
        <v>134</v>
      </c>
      <c r="H38" s="71"/>
      <c r="I38" s="83">
        <v>134</v>
      </c>
      <c r="J38" s="71"/>
      <c r="K38" s="83">
        <v>134</v>
      </c>
      <c r="L38" s="71"/>
      <c r="M38" s="167">
        <v>67</v>
      </c>
      <c r="N38" s="71"/>
      <c r="O38" s="151">
        <f t="shared" si="1"/>
        <v>0.5</v>
      </c>
    </row>
    <row r="39" spans="1:15" ht="12.75">
      <c r="A39" s="23"/>
      <c r="B39" s="26"/>
      <c r="C39" s="26">
        <v>2</v>
      </c>
      <c r="D39" s="17" t="s">
        <v>48</v>
      </c>
      <c r="E39" s="78">
        <v>300</v>
      </c>
      <c r="F39" s="79"/>
      <c r="G39" s="78">
        <v>350</v>
      </c>
      <c r="H39" s="79"/>
      <c r="I39" s="78">
        <v>350</v>
      </c>
      <c r="J39" s="79"/>
      <c r="K39" s="78">
        <v>350</v>
      </c>
      <c r="L39" s="79"/>
      <c r="M39" s="130">
        <f>186+215+12-67</f>
        <v>346</v>
      </c>
      <c r="N39" s="79"/>
      <c r="O39" s="151">
        <f t="shared" si="1"/>
        <v>0.9885714285714285</v>
      </c>
    </row>
    <row r="40" spans="1:15" ht="12.75">
      <c r="A40" s="12"/>
      <c r="B40" s="27"/>
      <c r="C40" s="27">
        <v>3</v>
      </c>
      <c r="D40" s="14" t="s">
        <v>49</v>
      </c>
      <c r="E40" s="75">
        <v>446</v>
      </c>
      <c r="F40" s="74"/>
      <c r="G40" s="75">
        <v>446</v>
      </c>
      <c r="H40" s="74"/>
      <c r="I40" s="75">
        <v>446</v>
      </c>
      <c r="J40" s="74"/>
      <c r="K40" s="75">
        <v>446</v>
      </c>
      <c r="L40" s="74"/>
      <c r="M40" s="132">
        <v>446</v>
      </c>
      <c r="N40" s="74"/>
      <c r="O40" s="151">
        <f t="shared" si="1"/>
        <v>1</v>
      </c>
    </row>
    <row r="41" spans="1:15" ht="12.75">
      <c r="A41" s="15"/>
      <c r="B41" s="28"/>
      <c r="C41" s="28">
        <v>4</v>
      </c>
      <c r="D41" s="19" t="s">
        <v>50</v>
      </c>
      <c r="E41" s="84">
        <f>120+418</f>
        <v>538</v>
      </c>
      <c r="F41" s="81"/>
      <c r="G41" s="84">
        <f>120+418</f>
        <v>538</v>
      </c>
      <c r="H41" s="81"/>
      <c r="I41" s="84">
        <f>120+418</f>
        <v>538</v>
      </c>
      <c r="J41" s="81"/>
      <c r="K41" s="84">
        <f>120+418</f>
        <v>538</v>
      </c>
      <c r="L41" s="81"/>
      <c r="M41" s="153">
        <v>539</v>
      </c>
      <c r="N41" s="81"/>
      <c r="O41" s="151">
        <f t="shared" si="1"/>
        <v>1.0018587360594795</v>
      </c>
    </row>
    <row r="42" spans="1:15" ht="13.5" thickBot="1">
      <c r="A42" s="20"/>
      <c r="B42" s="29"/>
      <c r="C42" s="29"/>
      <c r="D42" s="22" t="s">
        <v>21</v>
      </c>
      <c r="E42" s="76"/>
      <c r="F42" s="82">
        <f>SUM(E38:E41)</f>
        <v>1418</v>
      </c>
      <c r="G42" s="76"/>
      <c r="H42" s="82">
        <f>SUM(G38:G41)</f>
        <v>1468</v>
      </c>
      <c r="I42" s="76"/>
      <c r="J42" s="82">
        <f>SUM(I38:I41)</f>
        <v>1468</v>
      </c>
      <c r="K42" s="76"/>
      <c r="L42" s="82">
        <f>SUM(K38:K41)</f>
        <v>1468</v>
      </c>
      <c r="M42" s="76"/>
      <c r="N42" s="148">
        <f>SUM(M38:M41)</f>
        <v>1398</v>
      </c>
      <c r="O42" s="152">
        <f>+N42/L42</f>
        <v>0.952316076294278</v>
      </c>
    </row>
    <row r="43" spans="1:15" ht="13.5" thickBot="1">
      <c r="A43" s="30" t="s">
        <v>51</v>
      </c>
      <c r="B43" s="31" t="s">
        <v>52</v>
      </c>
      <c r="C43" s="31"/>
      <c r="D43" s="32"/>
      <c r="E43" s="85">
        <v>1100</v>
      </c>
      <c r="F43" s="86">
        <f>SUM(E43)</f>
        <v>1100</v>
      </c>
      <c r="G43" s="85">
        <v>1500</v>
      </c>
      <c r="H43" s="86">
        <f>SUM(G43)</f>
        <v>1500</v>
      </c>
      <c r="I43" s="85">
        <v>1650</v>
      </c>
      <c r="J43" s="86">
        <f>SUM(I43)</f>
        <v>1650</v>
      </c>
      <c r="K43" s="85">
        <v>2868</v>
      </c>
      <c r="L43" s="86">
        <f>SUM(K43)</f>
        <v>2868</v>
      </c>
      <c r="M43" s="135">
        <v>2868</v>
      </c>
      <c r="N43" s="127">
        <f>SUM(M43)</f>
        <v>2868</v>
      </c>
      <c r="O43" s="152">
        <f>+N43/L43</f>
        <v>1</v>
      </c>
    </row>
    <row r="44" spans="1:15" ht="13.5" thickBot="1">
      <c r="A44" s="30" t="s">
        <v>53</v>
      </c>
      <c r="B44" s="31" t="s">
        <v>54</v>
      </c>
      <c r="C44" s="31"/>
      <c r="D44" s="32"/>
      <c r="E44" s="85">
        <v>400</v>
      </c>
      <c r="F44" s="86">
        <f>SUM(E44)</f>
        <v>400</v>
      </c>
      <c r="G44" s="85">
        <v>400</v>
      </c>
      <c r="H44" s="86">
        <f>SUM(G44)</f>
        <v>400</v>
      </c>
      <c r="I44" s="85">
        <v>400</v>
      </c>
      <c r="J44" s="86">
        <f>SUM(I44)</f>
        <v>400</v>
      </c>
      <c r="K44" s="85">
        <v>400</v>
      </c>
      <c r="L44" s="86">
        <f>SUM(K44)</f>
        <v>400</v>
      </c>
      <c r="M44" s="135">
        <v>402</v>
      </c>
      <c r="N44" s="127">
        <f>SUM(M44)</f>
        <v>402</v>
      </c>
      <c r="O44" s="152">
        <f>+N44/L44</f>
        <v>1.005</v>
      </c>
    </row>
    <row r="45" spans="1:15" ht="12.75">
      <c r="A45" s="23" t="s">
        <v>55</v>
      </c>
      <c r="B45" s="26" t="s">
        <v>56</v>
      </c>
      <c r="C45" s="26">
        <v>1</v>
      </c>
      <c r="D45" s="17" t="s">
        <v>57</v>
      </c>
      <c r="E45" s="78">
        <v>650</v>
      </c>
      <c r="F45" s="79"/>
      <c r="G45" s="78">
        <v>700</v>
      </c>
      <c r="H45" s="79"/>
      <c r="I45" s="78">
        <f>713+92+50</f>
        <v>855</v>
      </c>
      <c r="J45" s="79"/>
      <c r="K45" s="78">
        <f>753+92+50+20</f>
        <v>915</v>
      </c>
      <c r="L45" s="79"/>
      <c r="M45" s="130">
        <v>920</v>
      </c>
      <c r="N45" s="79"/>
      <c r="O45" s="151">
        <f t="shared" si="1"/>
        <v>1.005464480874317</v>
      </c>
    </row>
    <row r="46" spans="1:15" ht="12.75">
      <c r="A46" s="23"/>
      <c r="B46" s="26"/>
      <c r="C46" s="26">
        <f>+C45+1</f>
        <v>2</v>
      </c>
      <c r="D46" s="17" t="s">
        <v>58</v>
      </c>
      <c r="E46" s="78">
        <v>1050</v>
      </c>
      <c r="F46" s="79"/>
      <c r="G46" s="78">
        <v>1050</v>
      </c>
      <c r="H46" s="79"/>
      <c r="I46" s="78">
        <v>1050</v>
      </c>
      <c r="J46" s="79"/>
      <c r="K46" s="78">
        <v>1000</v>
      </c>
      <c r="L46" s="79"/>
      <c r="M46" s="130">
        <f>245+695</f>
        <v>940</v>
      </c>
      <c r="N46" s="79"/>
      <c r="O46" s="151">
        <f t="shared" si="1"/>
        <v>0.94</v>
      </c>
    </row>
    <row r="47" spans="1:15" ht="12.75">
      <c r="A47" s="23"/>
      <c r="B47" s="26"/>
      <c r="C47" s="26">
        <f>+C46+1</f>
        <v>3</v>
      </c>
      <c r="D47" s="17" t="s">
        <v>59</v>
      </c>
      <c r="E47" s="78">
        <v>550</v>
      </c>
      <c r="F47" s="79"/>
      <c r="G47" s="78">
        <v>550</v>
      </c>
      <c r="H47" s="79"/>
      <c r="I47" s="78">
        <v>550</v>
      </c>
      <c r="J47" s="79"/>
      <c r="K47" s="78">
        <f>450-20</f>
        <v>430</v>
      </c>
      <c r="L47" s="79"/>
      <c r="M47" s="130">
        <f>110+197</f>
        <v>307</v>
      </c>
      <c r="N47" s="79"/>
      <c r="O47" s="151">
        <f t="shared" si="1"/>
        <v>0.713953488372093</v>
      </c>
    </row>
    <row r="48" spans="1:15" ht="12.75">
      <c r="A48" s="23"/>
      <c r="B48" s="26"/>
      <c r="C48" s="26">
        <f>+C47+1</f>
        <v>4</v>
      </c>
      <c r="D48" s="17" t="s">
        <v>157</v>
      </c>
      <c r="E48" s="78"/>
      <c r="F48" s="79"/>
      <c r="G48" s="78"/>
      <c r="H48" s="79"/>
      <c r="I48" s="78"/>
      <c r="J48" s="79"/>
      <c r="K48" s="78">
        <v>215</v>
      </c>
      <c r="L48" s="79"/>
      <c r="M48" s="130">
        <v>215</v>
      </c>
      <c r="N48" s="79"/>
      <c r="O48" s="151">
        <f t="shared" si="1"/>
        <v>1</v>
      </c>
    </row>
    <row r="49" spans="1:15" ht="12.75">
      <c r="A49" s="23"/>
      <c r="B49" s="26"/>
      <c r="C49" s="26">
        <f>+C48+1</f>
        <v>5</v>
      </c>
      <c r="D49" s="14" t="s">
        <v>60</v>
      </c>
      <c r="E49" s="75">
        <v>762</v>
      </c>
      <c r="F49" s="79"/>
      <c r="G49" s="75">
        <v>762</v>
      </c>
      <c r="H49" s="79"/>
      <c r="I49" s="75">
        <v>762</v>
      </c>
      <c r="J49" s="79"/>
      <c r="K49" s="75">
        <v>850</v>
      </c>
      <c r="L49" s="79"/>
      <c r="M49" s="132">
        <f>14+7+105+25+69+67+44+62+86+63+278+17+4</f>
        <v>841</v>
      </c>
      <c r="N49" s="79"/>
      <c r="O49" s="151">
        <f t="shared" si="1"/>
        <v>0.9894117647058823</v>
      </c>
    </row>
    <row r="50" spans="1:15" ht="13.5" thickBot="1">
      <c r="A50" s="20"/>
      <c r="B50" s="29"/>
      <c r="C50" s="29"/>
      <c r="D50" s="22" t="s">
        <v>21</v>
      </c>
      <c r="E50" s="76"/>
      <c r="F50" s="82">
        <f>SUM(E45:E49)</f>
        <v>3012</v>
      </c>
      <c r="G50" s="76"/>
      <c r="H50" s="82">
        <f>SUM(G45:G49)</f>
        <v>3062</v>
      </c>
      <c r="I50" s="76"/>
      <c r="J50" s="82">
        <f>SUM(I45:I49)</f>
        <v>3217</v>
      </c>
      <c r="K50" s="76"/>
      <c r="L50" s="82">
        <f>SUM(K45:K49)</f>
        <v>3410</v>
      </c>
      <c r="M50" s="76"/>
      <c r="N50" s="148">
        <f>SUM(M45:M49)</f>
        <v>3223</v>
      </c>
      <c r="O50" s="151">
        <f>+N50/L50</f>
        <v>0.9451612903225807</v>
      </c>
    </row>
    <row r="51" spans="1:15" ht="13.5" thickBot="1">
      <c r="A51" s="33" t="s">
        <v>61</v>
      </c>
      <c r="B51" s="31" t="s">
        <v>62</v>
      </c>
      <c r="C51" s="31"/>
      <c r="D51" s="32"/>
      <c r="E51" s="87">
        <v>610</v>
      </c>
      <c r="F51" s="86">
        <f>SUM(E51)</f>
        <v>610</v>
      </c>
      <c r="G51" s="87">
        <v>610</v>
      </c>
      <c r="H51" s="86">
        <f>SUM(G51)</f>
        <v>610</v>
      </c>
      <c r="I51" s="87">
        <v>610</v>
      </c>
      <c r="J51" s="86">
        <f>SUM(I51)</f>
        <v>610</v>
      </c>
      <c r="K51" s="87">
        <v>588</v>
      </c>
      <c r="L51" s="86">
        <f>SUM(K51)</f>
        <v>588</v>
      </c>
      <c r="M51" s="144">
        <v>64733</v>
      </c>
      <c r="N51" s="127">
        <f>SUM(M51)</f>
        <v>64733</v>
      </c>
      <c r="O51" s="151"/>
    </row>
    <row r="52" spans="1:15" ht="12.75">
      <c r="A52" s="34"/>
      <c r="B52" s="25" t="s">
        <v>63</v>
      </c>
      <c r="C52" s="25"/>
      <c r="D52" s="10"/>
      <c r="E52" s="83"/>
      <c r="F52" s="88">
        <f>SUM(F3:F51)</f>
        <v>64906.88</v>
      </c>
      <c r="G52" s="83"/>
      <c r="H52" s="88">
        <f>SUM(H3:H51)</f>
        <v>65499.88</v>
      </c>
      <c r="I52" s="83"/>
      <c r="J52" s="88">
        <f>SUM(J3:J51)</f>
        <v>67840.88</v>
      </c>
      <c r="K52" s="83"/>
      <c r="L52" s="88">
        <f>SUM(L3:L51)</f>
        <v>68214</v>
      </c>
      <c r="M52" s="83"/>
      <c r="N52" s="35">
        <f>SUM(N3:N51)</f>
        <v>131303.88</v>
      </c>
      <c r="O52" s="151">
        <f>+N52/L52</f>
        <v>1.9248816958395638</v>
      </c>
    </row>
    <row r="53" spans="1:18" ht="13.5" thickBot="1">
      <c r="A53" s="36"/>
      <c r="B53" s="29" t="s">
        <v>64</v>
      </c>
      <c r="C53" s="29"/>
      <c r="D53" s="22"/>
      <c r="E53" s="76"/>
      <c r="F53" s="89">
        <f>+F52-610</f>
        <v>64296.88</v>
      </c>
      <c r="G53" s="76"/>
      <c r="H53" s="89">
        <f>+H52-610</f>
        <v>64889.88</v>
      </c>
      <c r="I53" s="76"/>
      <c r="J53" s="89">
        <f>+J52-610</f>
        <v>67230.88</v>
      </c>
      <c r="K53" s="76"/>
      <c r="L53" s="89">
        <f>+L52-588</f>
        <v>67626</v>
      </c>
      <c r="M53" s="76"/>
      <c r="N53" s="37">
        <f>+N52-64733</f>
        <v>66570.88</v>
      </c>
      <c r="O53" s="151">
        <f>+N53/L53</f>
        <v>0.9843977168544643</v>
      </c>
      <c r="P53" t="s">
        <v>65</v>
      </c>
      <c r="Q53" s="38">
        <f>L53-L37-844</f>
        <v>62124</v>
      </c>
      <c r="R53" s="38">
        <f>+N53-N37-844</f>
        <v>61481.880000000005</v>
      </c>
    </row>
    <row r="54" spans="1:15" ht="18.75" thickBot="1">
      <c r="A54" s="1" t="s">
        <v>66</v>
      </c>
      <c r="B54" s="39"/>
      <c r="C54" s="39"/>
      <c r="D54" s="39"/>
      <c r="E54" s="376" t="s">
        <v>132</v>
      </c>
      <c r="F54" s="377"/>
      <c r="G54" s="376" t="s">
        <v>141</v>
      </c>
      <c r="H54" s="377"/>
      <c r="I54" s="376" t="s">
        <v>150</v>
      </c>
      <c r="J54" s="377"/>
      <c r="K54" s="376" t="s">
        <v>159</v>
      </c>
      <c r="L54" s="377"/>
      <c r="M54" s="378" t="s">
        <v>161</v>
      </c>
      <c r="N54" s="379"/>
      <c r="O54" s="151"/>
    </row>
    <row r="55" spans="1:15" ht="13.5" thickBot="1">
      <c r="A55" s="40" t="s">
        <v>1</v>
      </c>
      <c r="B55" s="41" t="s">
        <v>2</v>
      </c>
      <c r="C55" s="41" t="s">
        <v>3</v>
      </c>
      <c r="D55" s="42" t="s">
        <v>4</v>
      </c>
      <c r="E55" s="90"/>
      <c r="F55" s="91" t="s">
        <v>5</v>
      </c>
      <c r="G55" s="90"/>
      <c r="H55" s="91" t="s">
        <v>5</v>
      </c>
      <c r="I55" s="90"/>
      <c r="J55" s="91" t="s">
        <v>5</v>
      </c>
      <c r="K55" s="90"/>
      <c r="L55" s="91" t="s">
        <v>5</v>
      </c>
      <c r="M55" s="90"/>
      <c r="N55" s="91" t="s">
        <v>5</v>
      </c>
      <c r="O55" s="151"/>
    </row>
    <row r="56" spans="1:15" ht="12.75">
      <c r="A56" s="8" t="s">
        <v>6</v>
      </c>
      <c r="B56" s="25" t="s">
        <v>67</v>
      </c>
      <c r="C56" s="25">
        <v>1</v>
      </c>
      <c r="D56" s="10" t="s">
        <v>68</v>
      </c>
      <c r="E56" s="92">
        <v>2627</v>
      </c>
      <c r="F56" s="93"/>
      <c r="G56" s="92">
        <v>2627</v>
      </c>
      <c r="H56" s="93"/>
      <c r="I56" s="92">
        <v>2627</v>
      </c>
      <c r="J56" s="93"/>
      <c r="K56" s="92">
        <f>2647+30</f>
        <v>2677</v>
      </c>
      <c r="L56" s="93"/>
      <c r="M56" s="134">
        <f>2647+30</f>
        <v>2677</v>
      </c>
      <c r="N56" s="93"/>
      <c r="O56" s="151">
        <f t="shared" si="1"/>
        <v>1</v>
      </c>
    </row>
    <row r="57" spans="1:15" ht="12.75">
      <c r="A57" s="23"/>
      <c r="B57" s="26"/>
      <c r="C57" s="26">
        <v>2</v>
      </c>
      <c r="D57" s="17" t="s">
        <v>69</v>
      </c>
      <c r="E57" s="94">
        <v>250</v>
      </c>
      <c r="F57" s="95"/>
      <c r="G57" s="94">
        <v>250</v>
      </c>
      <c r="H57" s="95"/>
      <c r="I57" s="94">
        <v>250</v>
      </c>
      <c r="J57" s="95"/>
      <c r="K57" s="94">
        <v>250</v>
      </c>
      <c r="L57" s="95"/>
      <c r="M57" s="140">
        <v>250</v>
      </c>
      <c r="N57" s="95"/>
      <c r="O57" s="151">
        <f t="shared" si="1"/>
        <v>1</v>
      </c>
    </row>
    <row r="58" spans="1:15" ht="12.75">
      <c r="A58" s="12"/>
      <c r="B58" s="27"/>
      <c r="C58" s="26">
        <f aca="true" t="shared" si="3" ref="C58:C64">+C57+1</f>
        <v>3</v>
      </c>
      <c r="D58" s="14" t="s">
        <v>70</v>
      </c>
      <c r="E58" s="94">
        <v>542</v>
      </c>
      <c r="F58" s="95"/>
      <c r="G58" s="94">
        <v>542</v>
      </c>
      <c r="H58" s="95"/>
      <c r="I58" s="94">
        <v>542</v>
      </c>
      <c r="J58" s="95"/>
      <c r="K58" s="94">
        <v>542</v>
      </c>
      <c r="L58" s="95"/>
      <c r="M58" s="140">
        <v>542</v>
      </c>
      <c r="N58" s="95"/>
      <c r="O58" s="151">
        <f t="shared" si="1"/>
        <v>1</v>
      </c>
    </row>
    <row r="59" spans="1:15" ht="12.75">
      <c r="A59" s="12"/>
      <c r="B59" s="27"/>
      <c r="C59" s="26">
        <f t="shared" si="3"/>
        <v>4</v>
      </c>
      <c r="D59" s="14" t="s">
        <v>71</v>
      </c>
      <c r="E59" s="94">
        <v>81</v>
      </c>
      <c r="F59" s="96"/>
      <c r="G59" s="94">
        <v>81</v>
      </c>
      <c r="H59" s="96"/>
      <c r="I59" s="94">
        <v>81</v>
      </c>
      <c r="J59" s="96"/>
      <c r="K59" s="94">
        <v>81</v>
      </c>
      <c r="L59" s="96"/>
      <c r="M59" s="140">
        <v>81</v>
      </c>
      <c r="N59" s="96"/>
      <c r="O59" s="151">
        <f t="shared" si="1"/>
        <v>1</v>
      </c>
    </row>
    <row r="60" spans="1:15" ht="12.75">
      <c r="A60" s="12"/>
      <c r="B60" s="27"/>
      <c r="C60" s="26">
        <f t="shared" si="3"/>
        <v>5</v>
      </c>
      <c r="D60" s="14" t="s">
        <v>72</v>
      </c>
      <c r="E60" s="94">
        <v>0</v>
      </c>
      <c r="F60" s="96"/>
      <c r="G60" s="94">
        <v>0</v>
      </c>
      <c r="H60" s="96"/>
      <c r="I60" s="94">
        <v>925</v>
      </c>
      <c r="J60" s="96"/>
      <c r="K60" s="94">
        <v>925</v>
      </c>
      <c r="L60" s="96"/>
      <c r="M60" s="140">
        <v>925</v>
      </c>
      <c r="N60" s="96"/>
      <c r="O60" s="151">
        <f t="shared" si="1"/>
        <v>1</v>
      </c>
    </row>
    <row r="61" spans="1:15" ht="12.75">
      <c r="A61" s="12"/>
      <c r="B61" s="27"/>
      <c r="C61" s="26">
        <f t="shared" si="3"/>
        <v>6</v>
      </c>
      <c r="D61" s="14" t="s">
        <v>73</v>
      </c>
      <c r="E61" s="94">
        <v>306</v>
      </c>
      <c r="F61" s="95"/>
      <c r="G61" s="94">
        <v>306</v>
      </c>
      <c r="H61" s="95"/>
      <c r="I61" s="94">
        <v>306</v>
      </c>
      <c r="J61" s="95"/>
      <c r="K61" s="94">
        <v>306</v>
      </c>
      <c r="L61" s="95"/>
      <c r="M61" s="140">
        <v>306</v>
      </c>
      <c r="N61" s="95"/>
      <c r="O61" s="151">
        <f t="shared" si="1"/>
        <v>1</v>
      </c>
    </row>
    <row r="62" spans="1:15" ht="12.75">
      <c r="A62" s="12"/>
      <c r="B62" s="27"/>
      <c r="C62" s="26">
        <f t="shared" si="3"/>
        <v>7</v>
      </c>
      <c r="D62" s="14" t="s">
        <v>74</v>
      </c>
      <c r="E62" s="94">
        <v>377</v>
      </c>
      <c r="F62" s="95"/>
      <c r="G62" s="94">
        <v>377</v>
      </c>
      <c r="H62" s="95"/>
      <c r="I62" s="94">
        <f>377+9</f>
        <v>386</v>
      </c>
      <c r="J62" s="95"/>
      <c r="K62" s="94">
        <f>377+9+10+6+40</f>
        <v>442</v>
      </c>
      <c r="L62" s="95"/>
      <c r="M62" s="140">
        <f>377+9+10+6+40</f>
        <v>442</v>
      </c>
      <c r="N62" s="95"/>
      <c r="O62" s="151">
        <f t="shared" si="1"/>
        <v>1</v>
      </c>
    </row>
    <row r="63" spans="1:15" ht="12.75">
      <c r="A63" s="12"/>
      <c r="B63" s="27"/>
      <c r="C63" s="26">
        <f t="shared" si="3"/>
        <v>8</v>
      </c>
      <c r="D63" s="14" t="s">
        <v>75</v>
      </c>
      <c r="E63" s="94">
        <v>789</v>
      </c>
      <c r="F63" s="95"/>
      <c r="G63" s="94">
        <v>789</v>
      </c>
      <c r="H63" s="95"/>
      <c r="I63" s="94">
        <v>789</v>
      </c>
      <c r="J63" s="95"/>
      <c r="K63" s="94">
        <f>789+28+42</f>
        <v>859</v>
      </c>
      <c r="L63" s="95"/>
      <c r="M63" s="140">
        <f>789+28+42</f>
        <v>859</v>
      </c>
      <c r="N63" s="95"/>
      <c r="O63" s="151">
        <f t="shared" si="1"/>
        <v>1</v>
      </c>
    </row>
    <row r="64" spans="1:15" ht="12.75">
      <c r="A64" s="15"/>
      <c r="B64" s="28"/>
      <c r="C64" s="26">
        <f t="shared" si="3"/>
        <v>9</v>
      </c>
      <c r="D64" s="19" t="s">
        <v>76</v>
      </c>
      <c r="E64" s="94">
        <v>181</v>
      </c>
      <c r="F64" s="95"/>
      <c r="G64" s="94">
        <v>181</v>
      </c>
      <c r="H64" s="95"/>
      <c r="I64" s="94">
        <v>181</v>
      </c>
      <c r="J64" s="95"/>
      <c r="K64" s="94">
        <v>181</v>
      </c>
      <c r="L64" s="95"/>
      <c r="M64" s="140">
        <v>181</v>
      </c>
      <c r="N64" s="95"/>
      <c r="O64" s="151">
        <f t="shared" si="1"/>
        <v>1</v>
      </c>
    </row>
    <row r="65" spans="1:15" ht="13.5" thickBot="1">
      <c r="A65" s="15"/>
      <c r="B65" s="28"/>
      <c r="C65" s="28"/>
      <c r="D65" s="19" t="s">
        <v>21</v>
      </c>
      <c r="E65" s="97"/>
      <c r="F65" s="98">
        <f>SUM(E56:E64)</f>
        <v>5153</v>
      </c>
      <c r="G65" s="97"/>
      <c r="H65" s="98">
        <f>SUM(G56:G64)</f>
        <v>5153</v>
      </c>
      <c r="I65" s="97"/>
      <c r="J65" s="98">
        <f>SUM(I56:I64)</f>
        <v>6087</v>
      </c>
      <c r="K65" s="97"/>
      <c r="L65" s="98">
        <f>SUM(K56:K64)</f>
        <v>6263</v>
      </c>
      <c r="M65" s="97"/>
      <c r="N65" s="172">
        <f>SUM(M56:M64)</f>
        <v>6263</v>
      </c>
      <c r="O65" s="152">
        <f>+N65/L65</f>
        <v>1</v>
      </c>
    </row>
    <row r="66" spans="1:15" ht="12.75">
      <c r="A66" s="8" t="s">
        <v>16</v>
      </c>
      <c r="B66" s="25" t="s">
        <v>77</v>
      </c>
      <c r="C66" s="25">
        <v>1</v>
      </c>
      <c r="D66" s="10" t="s">
        <v>78</v>
      </c>
      <c r="E66" s="92">
        <f>25398-22-1407+350</f>
        <v>24319</v>
      </c>
      <c r="F66" s="99"/>
      <c r="G66" s="92">
        <f>25398-22-1407+350</f>
        <v>24319</v>
      </c>
      <c r="H66" s="99"/>
      <c r="I66" s="92">
        <f>25398-22-1407+350</f>
        <v>24319</v>
      </c>
      <c r="J66" s="99"/>
      <c r="K66" s="92">
        <f>25398-22-1407+350+19+70+20+212+10-32-300-43</f>
        <v>24275</v>
      </c>
      <c r="L66" s="99"/>
      <c r="M66" s="134">
        <f>22788+1640+126-536-594+588</f>
        <v>24012</v>
      </c>
      <c r="N66" s="99"/>
      <c r="O66" s="151">
        <f t="shared" si="1"/>
        <v>0.9891658084449022</v>
      </c>
    </row>
    <row r="67" spans="1:15" ht="12.75">
      <c r="A67" s="12"/>
      <c r="B67" s="27"/>
      <c r="C67" s="27">
        <v>2</v>
      </c>
      <c r="D67" s="14" t="s">
        <v>79</v>
      </c>
      <c r="E67" s="94">
        <v>820</v>
      </c>
      <c r="F67" s="100"/>
      <c r="G67" s="94">
        <v>820</v>
      </c>
      <c r="H67" s="100"/>
      <c r="I67" s="94">
        <v>845</v>
      </c>
      <c r="J67" s="100"/>
      <c r="K67" s="94">
        <v>970</v>
      </c>
      <c r="L67" s="100"/>
      <c r="M67" s="140">
        <v>969</v>
      </c>
      <c r="N67" s="100"/>
      <c r="O67" s="151">
        <f aca="true" t="shared" si="4" ref="O67:O130">+M67/K67</f>
        <v>0.9989690721649485</v>
      </c>
    </row>
    <row r="68" spans="1:15" ht="13.5" thickBot="1">
      <c r="A68" s="20"/>
      <c r="B68" s="29"/>
      <c r="C68" s="29"/>
      <c r="D68" s="22" t="s">
        <v>5</v>
      </c>
      <c r="E68" s="101"/>
      <c r="F68" s="102">
        <f>SUM(E66:E67)</f>
        <v>25139</v>
      </c>
      <c r="G68" s="101"/>
      <c r="H68" s="102">
        <f>SUM(G66:G67)</f>
        <v>25139</v>
      </c>
      <c r="I68" s="101"/>
      <c r="J68" s="102">
        <f>SUM(I66:I67)</f>
        <v>25164</v>
      </c>
      <c r="K68" s="101"/>
      <c r="L68" s="102">
        <f>SUM(K66:K67)</f>
        <v>25245</v>
      </c>
      <c r="M68" s="101"/>
      <c r="N68" s="43">
        <f>SUM(M66:M67)</f>
        <v>24981</v>
      </c>
      <c r="O68" s="152">
        <f>+N68/L68</f>
        <v>0.9895424836601308</v>
      </c>
    </row>
    <row r="69" spans="1:15" ht="12.75">
      <c r="A69" s="23" t="s">
        <v>22</v>
      </c>
      <c r="B69" s="26" t="s">
        <v>80</v>
      </c>
      <c r="C69" s="26">
        <v>1</v>
      </c>
      <c r="D69" s="17" t="s">
        <v>81</v>
      </c>
      <c r="E69" s="92">
        <v>1000</v>
      </c>
      <c r="F69" s="93"/>
      <c r="G69" s="92">
        <v>1000</v>
      </c>
      <c r="H69" s="93"/>
      <c r="I69" s="92">
        <v>1000</v>
      </c>
      <c r="J69" s="93"/>
      <c r="K69" s="92">
        <f>1060+24+7+60</f>
        <v>1151</v>
      </c>
      <c r="L69" s="93"/>
      <c r="M69" s="134">
        <f>1060+24+7+60</f>
        <v>1151</v>
      </c>
      <c r="N69" s="93"/>
      <c r="O69" s="151">
        <f t="shared" si="4"/>
        <v>1</v>
      </c>
    </row>
    <row r="70" spans="1:15" ht="12.75">
      <c r="A70" s="12"/>
      <c r="B70" s="27"/>
      <c r="C70" s="27">
        <v>2</v>
      </c>
      <c r="D70" s="14" t="s">
        <v>82</v>
      </c>
      <c r="E70" s="94">
        <f>750*0.95+0.5</f>
        <v>713</v>
      </c>
      <c r="F70" s="95"/>
      <c r="G70" s="94">
        <f>323+750*0.95+0.5</f>
        <v>1036</v>
      </c>
      <c r="H70" s="95"/>
      <c r="I70" s="94">
        <f>323+750*0.95+0.5</f>
        <v>1036</v>
      </c>
      <c r="J70" s="95"/>
      <c r="K70" s="94">
        <f>323+750*0.95+0.5+40</f>
        <v>1076</v>
      </c>
      <c r="L70" s="95"/>
      <c r="M70" s="94">
        <f>323+750*0.95+0.5+40</f>
        <v>1076</v>
      </c>
      <c r="N70" s="95"/>
      <c r="O70" s="151">
        <f t="shared" si="4"/>
        <v>1</v>
      </c>
    </row>
    <row r="71" spans="1:15" ht="12.75">
      <c r="A71" s="12"/>
      <c r="B71" s="27"/>
      <c r="C71" s="27">
        <v>3</v>
      </c>
      <c r="D71" s="14" t="s">
        <v>158</v>
      </c>
      <c r="E71" s="94">
        <v>360</v>
      </c>
      <c r="F71" s="95"/>
      <c r="G71" s="94">
        <v>360</v>
      </c>
      <c r="H71" s="95"/>
      <c r="I71" s="94">
        <v>360</v>
      </c>
      <c r="J71" s="95"/>
      <c r="K71" s="94">
        <v>360</v>
      </c>
      <c r="L71" s="95"/>
      <c r="M71" s="140">
        <v>360</v>
      </c>
      <c r="N71" s="95"/>
      <c r="O71" s="151">
        <f t="shared" si="4"/>
        <v>1</v>
      </c>
    </row>
    <row r="72" spans="1:15" ht="12.75">
      <c r="A72" s="12"/>
      <c r="B72" s="27"/>
      <c r="C72" s="27">
        <v>4</v>
      </c>
      <c r="D72" s="14" t="s">
        <v>131</v>
      </c>
      <c r="E72" s="94">
        <v>100</v>
      </c>
      <c r="F72" s="95"/>
      <c r="G72" s="94">
        <v>100</v>
      </c>
      <c r="H72" s="95"/>
      <c r="I72" s="94">
        <v>100</v>
      </c>
      <c r="J72" s="95"/>
      <c r="K72" s="94">
        <v>100</v>
      </c>
      <c r="L72" s="95"/>
      <c r="M72" s="140">
        <v>100</v>
      </c>
      <c r="N72" s="95"/>
      <c r="O72" s="151">
        <f t="shared" si="4"/>
        <v>1</v>
      </c>
    </row>
    <row r="73" spans="1:15" ht="12.75">
      <c r="A73" s="12"/>
      <c r="B73" s="27"/>
      <c r="C73" s="27">
        <v>5</v>
      </c>
      <c r="D73" s="14" t="s">
        <v>83</v>
      </c>
      <c r="E73" s="103">
        <v>320</v>
      </c>
      <c r="F73" s="95"/>
      <c r="G73" s="103">
        <v>320</v>
      </c>
      <c r="H73" s="95"/>
      <c r="I73" s="103">
        <v>320</v>
      </c>
      <c r="J73" s="95"/>
      <c r="K73" s="103">
        <v>340</v>
      </c>
      <c r="L73" s="95"/>
      <c r="M73" s="131">
        <f>124+206</f>
        <v>330</v>
      </c>
      <c r="N73" s="95"/>
      <c r="O73" s="151">
        <f t="shared" si="4"/>
        <v>0.9705882352941176</v>
      </c>
    </row>
    <row r="74" spans="1:15" ht="13.5" thickBot="1">
      <c r="A74" s="15"/>
      <c r="B74" s="28"/>
      <c r="C74" s="28"/>
      <c r="D74" s="19" t="s">
        <v>21</v>
      </c>
      <c r="E74" s="104"/>
      <c r="F74" s="105">
        <f>SUM(E69:E73)</f>
        <v>2493</v>
      </c>
      <c r="G74" s="104"/>
      <c r="H74" s="105">
        <f>SUM(G69:G73)</f>
        <v>2816</v>
      </c>
      <c r="I74" s="104"/>
      <c r="J74" s="105">
        <f>SUM(I69:I73)</f>
        <v>2816</v>
      </c>
      <c r="K74" s="104"/>
      <c r="L74" s="105">
        <f>SUM(K69:K73)</f>
        <v>3027</v>
      </c>
      <c r="M74" s="104"/>
      <c r="N74" s="138">
        <f>SUM(M69:M73)</f>
        <v>3017</v>
      </c>
      <c r="O74" s="152">
        <f>+N74/L74</f>
        <v>0.9966963990749917</v>
      </c>
    </row>
    <row r="75" spans="1:15" ht="12.75">
      <c r="A75" s="8" t="s">
        <v>38</v>
      </c>
      <c r="B75" s="45" t="s">
        <v>84</v>
      </c>
      <c r="C75" s="25">
        <v>1</v>
      </c>
      <c r="D75" s="10" t="s">
        <v>85</v>
      </c>
      <c r="E75" s="106">
        <v>29500</v>
      </c>
      <c r="F75" s="93"/>
      <c r="G75" s="106">
        <f>29540-2911</f>
        <v>26629</v>
      </c>
      <c r="H75" s="93"/>
      <c r="I75" s="106">
        <f>26100+555</f>
        <v>26655</v>
      </c>
      <c r="J75" s="93"/>
      <c r="K75" s="106">
        <f>25000+30+1022+2298</f>
        <v>28350</v>
      </c>
      <c r="L75" s="93"/>
      <c r="M75" s="133">
        <f>3946+30+23352+1021</f>
        <v>28349</v>
      </c>
      <c r="N75" s="93"/>
      <c r="O75" s="151">
        <f t="shared" si="4"/>
        <v>0.9999647266313934</v>
      </c>
    </row>
    <row r="76" spans="1:15" ht="12.75">
      <c r="A76" s="15"/>
      <c r="B76" s="28"/>
      <c r="C76" s="26">
        <f aca="true" t="shared" si="5" ref="C76:C92">+C75+1</f>
        <v>2</v>
      </c>
      <c r="D76" s="14" t="s">
        <v>86</v>
      </c>
      <c r="E76" s="103">
        <v>100</v>
      </c>
      <c r="F76" s="107"/>
      <c r="G76" s="103">
        <v>100</v>
      </c>
      <c r="H76" s="107"/>
      <c r="I76" s="103">
        <v>100</v>
      </c>
      <c r="J76" s="107"/>
      <c r="K76" s="103">
        <v>150</v>
      </c>
      <c r="L76" s="107"/>
      <c r="M76" s="131">
        <v>150</v>
      </c>
      <c r="N76" s="107"/>
      <c r="O76" s="151">
        <f t="shared" si="4"/>
        <v>1</v>
      </c>
    </row>
    <row r="77" spans="1:15" ht="12.75">
      <c r="A77" s="15"/>
      <c r="B77" s="28"/>
      <c r="C77" s="26">
        <f t="shared" si="5"/>
        <v>3</v>
      </c>
      <c r="D77" s="14" t="s">
        <v>87</v>
      </c>
      <c r="E77" s="103">
        <v>6255</v>
      </c>
      <c r="F77" s="107"/>
      <c r="G77" s="103">
        <v>6255</v>
      </c>
      <c r="H77" s="107"/>
      <c r="I77" s="103">
        <v>6255</v>
      </c>
      <c r="J77" s="107"/>
      <c r="K77" s="103">
        <v>6263</v>
      </c>
      <c r="L77" s="107"/>
      <c r="M77" s="131">
        <v>6263</v>
      </c>
      <c r="N77" s="107"/>
      <c r="O77" s="151">
        <f t="shared" si="4"/>
        <v>1</v>
      </c>
    </row>
    <row r="78" spans="1:15" ht="12.75">
      <c r="A78" s="15"/>
      <c r="B78" s="28"/>
      <c r="C78" s="26">
        <f t="shared" si="5"/>
        <v>4</v>
      </c>
      <c r="D78" s="14" t="s">
        <v>88</v>
      </c>
      <c r="E78" s="103">
        <f>6530-3500</f>
        <v>3030</v>
      </c>
      <c r="F78" s="107"/>
      <c r="G78" s="103">
        <f>6530-3500</f>
        <v>3030</v>
      </c>
      <c r="H78" s="107"/>
      <c r="I78" s="103">
        <f>6530-3500</f>
        <v>3030</v>
      </c>
      <c r="J78" s="107"/>
      <c r="K78" s="103">
        <v>3038</v>
      </c>
      <c r="L78" s="107"/>
      <c r="M78" s="131">
        <v>3037</v>
      </c>
      <c r="N78" s="107"/>
      <c r="O78" s="151">
        <f t="shared" si="4"/>
        <v>0.999670836076366</v>
      </c>
    </row>
    <row r="79" spans="1:15" ht="12.75">
      <c r="A79" s="15"/>
      <c r="B79" s="28"/>
      <c r="C79" s="26">
        <f t="shared" si="5"/>
        <v>5</v>
      </c>
      <c r="D79" s="14" t="s">
        <v>143</v>
      </c>
      <c r="E79" s="103">
        <v>400</v>
      </c>
      <c r="F79" s="107"/>
      <c r="G79" s="103">
        <v>400</v>
      </c>
      <c r="H79" s="107"/>
      <c r="I79" s="103">
        <f>583</f>
        <v>583</v>
      </c>
      <c r="J79" s="107"/>
      <c r="K79" s="103">
        <v>571</v>
      </c>
      <c r="L79" s="107"/>
      <c r="M79" s="131">
        <v>571</v>
      </c>
      <c r="N79" s="107"/>
      <c r="O79" s="151">
        <f t="shared" si="4"/>
        <v>1</v>
      </c>
    </row>
    <row r="80" spans="1:15" ht="12.75">
      <c r="A80" s="15"/>
      <c r="B80" s="28"/>
      <c r="C80" s="26">
        <f t="shared" si="5"/>
        <v>6</v>
      </c>
      <c r="D80" s="14" t="s">
        <v>148</v>
      </c>
      <c r="E80" s="103">
        <v>500</v>
      </c>
      <c r="F80" s="107"/>
      <c r="G80" s="103">
        <v>500</v>
      </c>
      <c r="H80" s="107"/>
      <c r="I80" s="103">
        <f>231+439</f>
        <v>670</v>
      </c>
      <c r="J80" s="107"/>
      <c r="K80" s="103">
        <f>221+439</f>
        <v>660</v>
      </c>
      <c r="L80" s="107"/>
      <c r="M80" s="131">
        <v>661</v>
      </c>
      <c r="N80" s="107"/>
      <c r="O80" s="151">
        <f t="shared" si="4"/>
        <v>1.0015151515151515</v>
      </c>
    </row>
    <row r="81" spans="1:15" ht="12.75">
      <c r="A81" s="15"/>
      <c r="B81" s="28"/>
      <c r="C81" s="26">
        <v>8</v>
      </c>
      <c r="D81" s="14" t="s">
        <v>89</v>
      </c>
      <c r="E81" s="104">
        <f>2305</f>
        <v>2305</v>
      </c>
      <c r="F81" s="107"/>
      <c r="G81" s="104">
        <v>1930</v>
      </c>
      <c r="H81" s="107"/>
      <c r="I81" s="104">
        <v>2314</v>
      </c>
      <c r="J81" s="107"/>
      <c r="K81" s="104">
        <v>2313</v>
      </c>
      <c r="L81" s="107"/>
      <c r="M81" s="44">
        <v>2313</v>
      </c>
      <c r="N81" s="107"/>
      <c r="O81" s="151">
        <f t="shared" si="4"/>
        <v>1</v>
      </c>
    </row>
    <row r="82" spans="1:15" ht="12.75">
      <c r="A82" s="15"/>
      <c r="B82" s="28"/>
      <c r="C82" s="26">
        <f t="shared" si="5"/>
        <v>9</v>
      </c>
      <c r="D82" s="14" t="s">
        <v>128</v>
      </c>
      <c r="E82" s="104"/>
      <c r="F82" s="107"/>
      <c r="G82" s="104">
        <v>280</v>
      </c>
      <c r="H82" s="107"/>
      <c r="I82" s="104">
        <v>280</v>
      </c>
      <c r="J82" s="107"/>
      <c r="K82" s="104">
        <v>30</v>
      </c>
      <c r="L82" s="107"/>
      <c r="M82" s="44">
        <v>0</v>
      </c>
      <c r="N82" s="107"/>
      <c r="O82" s="151">
        <f t="shared" si="4"/>
        <v>0</v>
      </c>
    </row>
    <row r="83" spans="1:15" ht="12.75">
      <c r="A83" s="15"/>
      <c r="B83" s="28"/>
      <c r="C83" s="26">
        <f t="shared" si="5"/>
        <v>10</v>
      </c>
      <c r="D83" s="14" t="s">
        <v>129</v>
      </c>
      <c r="E83" s="104"/>
      <c r="F83" s="107"/>
      <c r="G83" s="104">
        <v>150</v>
      </c>
      <c r="H83" s="107"/>
      <c r="I83" s="104">
        <v>100</v>
      </c>
      <c r="J83" s="107"/>
      <c r="K83" s="104">
        <v>292</v>
      </c>
      <c r="L83" s="107"/>
      <c r="M83" s="44">
        <v>258</v>
      </c>
      <c r="N83" s="107"/>
      <c r="O83" s="151">
        <f t="shared" si="4"/>
        <v>0.8835616438356164</v>
      </c>
    </row>
    <row r="84" spans="1:15" ht="12.75">
      <c r="A84" s="15"/>
      <c r="B84" s="28"/>
      <c r="C84" s="26">
        <f t="shared" si="5"/>
        <v>11</v>
      </c>
      <c r="D84" s="14" t="s">
        <v>130</v>
      </c>
      <c r="E84" s="104"/>
      <c r="F84" s="107"/>
      <c r="G84" s="104">
        <v>100</v>
      </c>
      <c r="H84" s="107"/>
      <c r="I84" s="104">
        <v>0</v>
      </c>
      <c r="J84" s="107"/>
      <c r="K84" s="104">
        <v>70</v>
      </c>
      <c r="L84" s="107"/>
      <c r="M84" s="44">
        <v>70</v>
      </c>
      <c r="N84" s="107"/>
      <c r="O84" s="151">
        <f t="shared" si="4"/>
        <v>1</v>
      </c>
    </row>
    <row r="85" spans="1:15" ht="12.75">
      <c r="A85" s="15"/>
      <c r="B85" s="28"/>
      <c r="C85" s="26">
        <f t="shared" si="5"/>
        <v>12</v>
      </c>
      <c r="D85" s="14" t="s">
        <v>138</v>
      </c>
      <c r="E85" s="104"/>
      <c r="F85" s="107"/>
      <c r="G85" s="104">
        <v>1273</v>
      </c>
      <c r="H85" s="107"/>
      <c r="I85" s="104">
        <v>1160</v>
      </c>
      <c r="J85" s="107"/>
      <c r="K85" s="104">
        <v>1160</v>
      </c>
      <c r="L85" s="107"/>
      <c r="M85" s="44">
        <v>1160</v>
      </c>
      <c r="N85" s="107"/>
      <c r="O85" s="151">
        <f t="shared" si="4"/>
        <v>1</v>
      </c>
    </row>
    <row r="86" spans="1:15" ht="12.75">
      <c r="A86" s="15"/>
      <c r="B86" s="28"/>
      <c r="C86" s="26">
        <f t="shared" si="5"/>
        <v>13</v>
      </c>
      <c r="D86" s="14" t="s">
        <v>139</v>
      </c>
      <c r="E86" s="104"/>
      <c r="F86" s="107"/>
      <c r="G86" s="104">
        <v>150</v>
      </c>
      <c r="H86" s="107"/>
      <c r="I86" s="104">
        <v>198</v>
      </c>
      <c r="J86" s="107"/>
      <c r="K86" s="104">
        <v>198</v>
      </c>
      <c r="L86" s="107"/>
      <c r="M86" s="44">
        <v>198</v>
      </c>
      <c r="N86" s="107"/>
      <c r="O86" s="151">
        <f t="shared" si="4"/>
        <v>1</v>
      </c>
    </row>
    <row r="87" spans="1:15" ht="12.75">
      <c r="A87" s="15"/>
      <c r="B87" s="28"/>
      <c r="C87" s="26">
        <f t="shared" si="5"/>
        <v>14</v>
      </c>
      <c r="D87" s="14" t="s">
        <v>140</v>
      </c>
      <c r="E87" s="104"/>
      <c r="F87" s="107"/>
      <c r="G87" s="104"/>
      <c r="H87" s="107"/>
      <c r="I87" s="104">
        <v>144</v>
      </c>
      <c r="J87" s="107"/>
      <c r="K87" s="104">
        <v>143</v>
      </c>
      <c r="L87" s="107"/>
      <c r="M87" s="44">
        <v>142</v>
      </c>
      <c r="N87" s="107"/>
      <c r="O87" s="151">
        <f t="shared" si="4"/>
        <v>0.993006993006993</v>
      </c>
    </row>
    <row r="88" spans="1:15" ht="12.75">
      <c r="A88" s="15"/>
      <c r="B88" s="28"/>
      <c r="C88" s="26">
        <f t="shared" si="5"/>
        <v>15</v>
      </c>
      <c r="D88" s="14" t="s">
        <v>144</v>
      </c>
      <c r="E88" s="104"/>
      <c r="F88" s="107"/>
      <c r="G88" s="104"/>
      <c r="H88" s="107"/>
      <c r="I88" s="104">
        <v>330</v>
      </c>
      <c r="J88" s="107"/>
      <c r="K88" s="104">
        <v>439</v>
      </c>
      <c r="L88" s="107"/>
      <c r="M88" s="44">
        <v>439</v>
      </c>
      <c r="N88" s="107"/>
      <c r="O88" s="151">
        <f t="shared" si="4"/>
        <v>1</v>
      </c>
    </row>
    <row r="89" spans="1:15" ht="12.75">
      <c r="A89" s="15"/>
      <c r="B89" s="28"/>
      <c r="C89" s="26">
        <f t="shared" si="5"/>
        <v>16</v>
      </c>
      <c r="D89" s="14" t="s">
        <v>153</v>
      </c>
      <c r="E89" s="104"/>
      <c r="F89" s="107"/>
      <c r="G89" s="104"/>
      <c r="H89" s="107"/>
      <c r="I89" s="104"/>
      <c r="J89" s="107"/>
      <c r="K89" s="104">
        <v>88</v>
      </c>
      <c r="L89" s="107"/>
      <c r="M89" s="44">
        <v>88</v>
      </c>
      <c r="N89" s="107"/>
      <c r="O89" s="151">
        <f t="shared" si="4"/>
        <v>1</v>
      </c>
    </row>
    <row r="90" spans="1:15" ht="12.75">
      <c r="A90" s="15"/>
      <c r="B90" s="28"/>
      <c r="C90" s="26">
        <f t="shared" si="5"/>
        <v>17</v>
      </c>
      <c r="D90" s="14" t="s">
        <v>155</v>
      </c>
      <c r="E90" s="104"/>
      <c r="F90" s="107"/>
      <c r="G90" s="104"/>
      <c r="H90" s="107"/>
      <c r="I90" s="104"/>
      <c r="J90" s="107"/>
      <c r="K90" s="104">
        <f>269+36</f>
        <v>305</v>
      </c>
      <c r="L90" s="107"/>
      <c r="M90" s="44">
        <f>269+36</f>
        <v>305</v>
      </c>
      <c r="N90" s="107"/>
      <c r="O90" s="151">
        <f t="shared" si="4"/>
        <v>1</v>
      </c>
    </row>
    <row r="91" spans="1:15" ht="12.75">
      <c r="A91" s="15"/>
      <c r="B91" s="28"/>
      <c r="C91" s="26">
        <f t="shared" si="5"/>
        <v>18</v>
      </c>
      <c r="D91" s="14" t="s">
        <v>156</v>
      </c>
      <c r="E91" s="104"/>
      <c r="F91" s="107"/>
      <c r="G91" s="104"/>
      <c r="H91" s="107"/>
      <c r="I91" s="104"/>
      <c r="J91" s="107"/>
      <c r="K91" s="104">
        <v>253</v>
      </c>
      <c r="L91" s="107"/>
      <c r="M91" s="44">
        <v>252</v>
      </c>
      <c r="N91" s="107"/>
      <c r="O91" s="151">
        <f t="shared" si="4"/>
        <v>0.9960474308300395</v>
      </c>
    </row>
    <row r="92" spans="1:15" ht="12.75">
      <c r="A92" s="15"/>
      <c r="B92" s="28"/>
      <c r="C92" s="26">
        <f t="shared" si="5"/>
        <v>19</v>
      </c>
      <c r="D92" s="14" t="s">
        <v>90</v>
      </c>
      <c r="E92" s="104">
        <v>700</v>
      </c>
      <c r="F92" s="107"/>
      <c r="G92" s="104">
        <v>170</v>
      </c>
      <c r="H92" s="107"/>
      <c r="I92" s="104">
        <v>200</v>
      </c>
      <c r="J92" s="107"/>
      <c r="K92" s="104">
        <f>64+103+73+11+111+36</f>
        <v>398</v>
      </c>
      <c r="L92" s="107"/>
      <c r="M92" s="44">
        <f>64+101+73+11+111+36</f>
        <v>396</v>
      </c>
      <c r="N92" s="107"/>
      <c r="O92" s="151">
        <f t="shared" si="4"/>
        <v>0.9949748743718593</v>
      </c>
    </row>
    <row r="93" spans="1:15" ht="13.5" thickBot="1">
      <c r="A93" s="20"/>
      <c r="B93" s="29"/>
      <c r="C93" s="26"/>
      <c r="D93" s="46" t="s">
        <v>21</v>
      </c>
      <c r="E93" s="97"/>
      <c r="F93" s="108">
        <f>SUM(E75:E92)</f>
        <v>42790</v>
      </c>
      <c r="G93" s="97"/>
      <c r="H93" s="108">
        <f>SUM(G75:G92)</f>
        <v>40967</v>
      </c>
      <c r="I93" s="97"/>
      <c r="J93" s="108">
        <f>SUM(I75:I92)</f>
        <v>42019</v>
      </c>
      <c r="K93" s="97"/>
      <c r="L93" s="108">
        <f>SUM(K75:K92)</f>
        <v>44721</v>
      </c>
      <c r="M93" s="97"/>
      <c r="N93" s="47">
        <f>SUM(M75:M92)</f>
        <v>44652</v>
      </c>
      <c r="O93" s="152">
        <f>+N93/L93</f>
        <v>0.9984571006909505</v>
      </c>
    </row>
    <row r="94" spans="1:15" ht="12.75">
      <c r="A94" s="8" t="s">
        <v>45</v>
      </c>
      <c r="B94" s="25" t="s">
        <v>91</v>
      </c>
      <c r="C94" s="25">
        <v>1</v>
      </c>
      <c r="D94" s="48" t="s">
        <v>92</v>
      </c>
      <c r="E94" s="109">
        <v>150</v>
      </c>
      <c r="F94" s="110"/>
      <c r="G94" s="109">
        <v>150</v>
      </c>
      <c r="H94" s="110"/>
      <c r="I94" s="109">
        <v>125</v>
      </c>
      <c r="J94" s="110"/>
      <c r="K94" s="109">
        <v>186</v>
      </c>
      <c r="L94" s="110"/>
      <c r="M94" s="142">
        <v>181</v>
      </c>
      <c r="N94" s="110"/>
      <c r="O94" s="151">
        <f t="shared" si="4"/>
        <v>0.9731182795698925</v>
      </c>
    </row>
    <row r="95" spans="1:15" ht="12.75">
      <c r="A95" s="12"/>
      <c r="B95" s="27"/>
      <c r="C95" s="27">
        <f aca="true" t="shared" si="6" ref="C95:C104">+C94+1</f>
        <v>2</v>
      </c>
      <c r="D95" s="14" t="s">
        <v>93</v>
      </c>
      <c r="E95" s="103">
        <v>400</v>
      </c>
      <c r="F95" s="95"/>
      <c r="G95" s="103">
        <v>400</v>
      </c>
      <c r="H95" s="95"/>
      <c r="I95" s="103">
        <v>300</v>
      </c>
      <c r="J95" s="95"/>
      <c r="K95" s="103">
        <v>405</v>
      </c>
      <c r="L95" s="95"/>
      <c r="M95" s="131">
        <v>401</v>
      </c>
      <c r="N95" s="95"/>
      <c r="O95" s="151">
        <f t="shared" si="4"/>
        <v>0.9901234567901235</v>
      </c>
    </row>
    <row r="96" spans="1:15" ht="12.75">
      <c r="A96" s="12"/>
      <c r="B96" s="27"/>
      <c r="C96" s="27">
        <f t="shared" si="6"/>
        <v>3</v>
      </c>
      <c r="D96" s="14" t="s">
        <v>146</v>
      </c>
      <c r="E96" s="103"/>
      <c r="F96" s="95"/>
      <c r="G96" s="103"/>
      <c r="H96" s="95"/>
      <c r="I96" s="103">
        <v>400</v>
      </c>
      <c r="J96" s="95"/>
      <c r="K96" s="103">
        <v>400</v>
      </c>
      <c r="L96" s="95"/>
      <c r="M96" s="131">
        <v>400</v>
      </c>
      <c r="N96" s="95"/>
      <c r="O96" s="151">
        <f t="shared" si="4"/>
        <v>1</v>
      </c>
    </row>
    <row r="97" spans="1:15" ht="12.75">
      <c r="A97" s="12"/>
      <c r="B97" s="27"/>
      <c r="C97" s="27">
        <f t="shared" si="6"/>
        <v>4</v>
      </c>
      <c r="D97" s="14" t="s">
        <v>160</v>
      </c>
      <c r="E97" s="103"/>
      <c r="F97" s="95"/>
      <c r="G97" s="103"/>
      <c r="H97" s="95"/>
      <c r="I97" s="103"/>
      <c r="J97" s="95"/>
      <c r="K97" s="103">
        <v>595</v>
      </c>
      <c r="L97" s="95"/>
      <c r="M97" s="131">
        <v>594</v>
      </c>
      <c r="N97" s="95"/>
      <c r="O97" s="151">
        <f t="shared" si="4"/>
        <v>0.9983193277310924</v>
      </c>
    </row>
    <row r="98" spans="1:15" ht="12.75">
      <c r="A98" s="12"/>
      <c r="B98" s="27"/>
      <c r="C98" s="27">
        <f t="shared" si="6"/>
        <v>5</v>
      </c>
      <c r="D98" s="14" t="s">
        <v>94</v>
      </c>
      <c r="E98" s="103">
        <v>100</v>
      </c>
      <c r="F98" s="95"/>
      <c r="G98" s="103">
        <v>100</v>
      </c>
      <c r="H98" s="95"/>
      <c r="I98" s="103">
        <v>100</v>
      </c>
      <c r="J98" s="95"/>
      <c r="K98" s="103">
        <v>45</v>
      </c>
      <c r="L98" s="95"/>
      <c r="M98" s="131">
        <v>44</v>
      </c>
      <c r="N98" s="95"/>
      <c r="O98" s="151">
        <f t="shared" si="4"/>
        <v>0.9777777777777777</v>
      </c>
    </row>
    <row r="99" spans="1:15" ht="12.75">
      <c r="A99" s="12"/>
      <c r="B99" s="27"/>
      <c r="C99" s="27">
        <f t="shared" si="6"/>
        <v>6</v>
      </c>
      <c r="D99" s="14" t="s">
        <v>95</v>
      </c>
      <c r="E99" s="103">
        <v>360</v>
      </c>
      <c r="F99" s="95"/>
      <c r="G99" s="103">
        <v>360</v>
      </c>
      <c r="H99" s="95"/>
      <c r="I99" s="103">
        <v>300</v>
      </c>
      <c r="J99" s="95"/>
      <c r="K99" s="103">
        <v>415</v>
      </c>
      <c r="L99" s="95"/>
      <c r="M99" s="131">
        <v>407</v>
      </c>
      <c r="N99" s="95"/>
      <c r="O99" s="151">
        <f t="shared" si="4"/>
        <v>0.980722891566265</v>
      </c>
    </row>
    <row r="100" spans="1:15" ht="12.75">
      <c r="A100" s="12"/>
      <c r="B100" s="27"/>
      <c r="C100" s="27">
        <f t="shared" si="6"/>
        <v>7</v>
      </c>
      <c r="D100" s="14" t="s">
        <v>96</v>
      </c>
      <c r="E100" s="103">
        <v>5290</v>
      </c>
      <c r="F100" s="95"/>
      <c r="G100" s="103">
        <v>5290</v>
      </c>
      <c r="H100" s="95"/>
      <c r="I100" s="103">
        <v>5290</v>
      </c>
      <c r="J100" s="95"/>
      <c r="K100" s="103">
        <v>5445</v>
      </c>
      <c r="L100" s="95"/>
      <c r="M100" s="131">
        <v>5443</v>
      </c>
      <c r="N100" s="95"/>
      <c r="O100" s="151">
        <f t="shared" si="4"/>
        <v>0.9996326905417815</v>
      </c>
    </row>
    <row r="101" spans="1:15" ht="12.75">
      <c r="A101" s="12"/>
      <c r="B101" s="27"/>
      <c r="C101" s="27">
        <f t="shared" si="6"/>
        <v>8</v>
      </c>
      <c r="D101" s="14" t="s">
        <v>97</v>
      </c>
      <c r="E101" s="103">
        <v>1350</v>
      </c>
      <c r="F101" s="95"/>
      <c r="G101" s="103">
        <v>1450</v>
      </c>
      <c r="H101" s="95"/>
      <c r="I101" s="103">
        <v>1500</v>
      </c>
      <c r="J101" s="95"/>
      <c r="K101" s="103">
        <v>2115</v>
      </c>
      <c r="L101" s="95"/>
      <c r="M101" s="131">
        <v>2113</v>
      </c>
      <c r="N101" s="95"/>
      <c r="O101" s="151">
        <f t="shared" si="4"/>
        <v>0.9990543735224586</v>
      </c>
    </row>
    <row r="102" spans="1:15" ht="12.75">
      <c r="A102" s="12"/>
      <c r="B102" s="27"/>
      <c r="C102" s="27">
        <f t="shared" si="6"/>
        <v>9</v>
      </c>
      <c r="D102" s="14" t="s">
        <v>98</v>
      </c>
      <c r="E102" s="103">
        <v>1535</v>
      </c>
      <c r="F102" s="95"/>
      <c r="G102" s="103">
        <v>1535</v>
      </c>
      <c r="H102" s="95"/>
      <c r="I102" s="103">
        <v>1535</v>
      </c>
      <c r="J102" s="95"/>
      <c r="K102" s="103">
        <v>1625</v>
      </c>
      <c r="L102" s="95"/>
      <c r="M102" s="131">
        <v>1625</v>
      </c>
      <c r="N102" s="95"/>
      <c r="O102" s="151">
        <f t="shared" si="4"/>
        <v>1</v>
      </c>
    </row>
    <row r="103" spans="1:15" ht="12.75">
      <c r="A103" s="12"/>
      <c r="B103" s="27"/>
      <c r="C103" s="27">
        <f t="shared" si="6"/>
        <v>10</v>
      </c>
      <c r="D103" s="14" t="s">
        <v>99</v>
      </c>
      <c r="E103" s="94">
        <v>542</v>
      </c>
      <c r="F103" s="95"/>
      <c r="G103" s="94">
        <v>542</v>
      </c>
      <c r="H103" s="95"/>
      <c r="I103" s="94">
        <v>542</v>
      </c>
      <c r="J103" s="95"/>
      <c r="K103" s="94">
        <v>675</v>
      </c>
      <c r="L103" s="95"/>
      <c r="M103" s="140">
        <f>616+33</f>
        <v>649</v>
      </c>
      <c r="N103" s="95"/>
      <c r="O103" s="151">
        <f t="shared" si="4"/>
        <v>0.9614814814814815</v>
      </c>
    </row>
    <row r="104" spans="1:15" ht="12.75">
      <c r="A104" s="15"/>
      <c r="B104" s="28"/>
      <c r="C104" s="27">
        <f t="shared" si="6"/>
        <v>11</v>
      </c>
      <c r="D104" s="19" t="s">
        <v>100</v>
      </c>
      <c r="E104" s="111">
        <v>60</v>
      </c>
      <c r="F104" s="107"/>
      <c r="G104" s="111">
        <v>60</v>
      </c>
      <c r="H104" s="107"/>
      <c r="I104" s="111">
        <v>60</v>
      </c>
      <c r="J104" s="107"/>
      <c r="K104" s="111">
        <v>140</v>
      </c>
      <c r="L104" s="107"/>
      <c r="M104" s="141">
        <v>139</v>
      </c>
      <c r="N104" s="107"/>
      <c r="O104" s="151">
        <f t="shared" si="4"/>
        <v>0.9928571428571429</v>
      </c>
    </row>
    <row r="105" spans="1:15" ht="13.5" thickBot="1">
      <c r="A105" s="20"/>
      <c r="B105" s="29"/>
      <c r="C105" s="29"/>
      <c r="D105" s="22" t="s">
        <v>21</v>
      </c>
      <c r="E105" s="97"/>
      <c r="F105" s="102">
        <f>SUM(E94:E104)</f>
        <v>9787</v>
      </c>
      <c r="G105" s="97"/>
      <c r="H105" s="102">
        <f>SUM(G94:G104)</f>
        <v>9887</v>
      </c>
      <c r="I105" s="97"/>
      <c r="J105" s="102">
        <f>SUM(I94:I104)</f>
        <v>10152</v>
      </c>
      <c r="K105" s="97"/>
      <c r="L105" s="102">
        <f>SUM(K94:K104)</f>
        <v>12046</v>
      </c>
      <c r="M105" s="97"/>
      <c r="N105" s="43">
        <f>SUM(M94:M104)</f>
        <v>11996</v>
      </c>
      <c r="O105" s="152">
        <f>+N105/L105</f>
        <v>0.9958492445625103</v>
      </c>
    </row>
    <row r="106" spans="1:15" ht="12.75">
      <c r="A106" s="8" t="s">
        <v>51</v>
      </c>
      <c r="B106" s="25" t="s">
        <v>101</v>
      </c>
      <c r="C106" s="25">
        <v>1</v>
      </c>
      <c r="D106" s="10" t="s">
        <v>102</v>
      </c>
      <c r="E106" s="106">
        <v>700</v>
      </c>
      <c r="F106" s="93"/>
      <c r="G106" s="106">
        <v>560</v>
      </c>
      <c r="H106" s="93"/>
      <c r="I106" s="106">
        <v>620</v>
      </c>
      <c r="J106" s="93"/>
      <c r="K106" s="106">
        <v>700</v>
      </c>
      <c r="L106" s="93"/>
      <c r="M106" s="133">
        <f>1910-1160-52</f>
        <v>698</v>
      </c>
      <c r="N106" s="93"/>
      <c r="O106" s="151">
        <f t="shared" si="4"/>
        <v>0.9971428571428571</v>
      </c>
    </row>
    <row r="107" spans="1:15" ht="12.75">
      <c r="A107" s="23"/>
      <c r="B107" s="26"/>
      <c r="C107" s="27">
        <f aca="true" t="shared" si="7" ref="C107:C117">+C106+1</f>
        <v>2</v>
      </c>
      <c r="D107" s="17" t="s">
        <v>103</v>
      </c>
      <c r="E107" s="109">
        <v>90</v>
      </c>
      <c r="F107" s="110"/>
      <c r="G107" s="109">
        <v>90</v>
      </c>
      <c r="H107" s="110"/>
      <c r="I107" s="109">
        <v>90</v>
      </c>
      <c r="J107" s="110"/>
      <c r="K107" s="109">
        <v>85</v>
      </c>
      <c r="L107" s="110"/>
      <c r="M107" s="142">
        <f>32+52</f>
        <v>84</v>
      </c>
      <c r="N107" s="110"/>
      <c r="O107" s="151">
        <f t="shared" si="4"/>
        <v>0.9882352941176471</v>
      </c>
    </row>
    <row r="108" spans="1:15" ht="12.75">
      <c r="A108" s="23"/>
      <c r="B108" s="26"/>
      <c r="C108" s="27">
        <f t="shared" si="7"/>
        <v>3</v>
      </c>
      <c r="D108" s="14" t="s">
        <v>104</v>
      </c>
      <c r="E108" s="94">
        <v>900</v>
      </c>
      <c r="F108" s="110"/>
      <c r="G108" s="94">
        <v>952</v>
      </c>
      <c r="H108" s="110"/>
      <c r="I108" s="94">
        <v>1300</v>
      </c>
      <c r="J108" s="110"/>
      <c r="K108" s="94">
        <v>1362</v>
      </c>
      <c r="L108" s="110"/>
      <c r="M108" s="140">
        <f>1294+52+20</f>
        <v>1366</v>
      </c>
      <c r="N108" s="110"/>
      <c r="O108" s="151">
        <f t="shared" si="4"/>
        <v>1.0029368575624082</v>
      </c>
    </row>
    <row r="109" spans="1:18" ht="12.75">
      <c r="A109" s="12"/>
      <c r="B109" s="27"/>
      <c r="C109" s="27">
        <f t="shared" si="7"/>
        <v>4</v>
      </c>
      <c r="D109" s="14" t="s">
        <v>105</v>
      </c>
      <c r="E109" s="104">
        <f>-10824+1000+325</f>
        <v>-9499</v>
      </c>
      <c r="F109" s="95"/>
      <c r="G109" s="104">
        <f>-10824+570+325+2871-212</f>
        <v>-7270</v>
      </c>
      <c r="H109" s="95"/>
      <c r="I109" s="104">
        <f>-10824+570+325+2911-193-97-35-384</f>
        <v>-7727</v>
      </c>
      <c r="J109" s="95"/>
      <c r="K109" s="104">
        <f>-7910-242-293-1927</f>
        <v>-10372</v>
      </c>
      <c r="L109" s="95"/>
      <c r="M109" s="44">
        <f>-7910-242-293-1927</f>
        <v>-10372</v>
      </c>
      <c r="N109" s="95"/>
      <c r="O109" s="151">
        <f t="shared" si="4"/>
        <v>1</v>
      </c>
      <c r="P109" t="s">
        <v>147</v>
      </c>
      <c r="Q109">
        <f>-K109-K18</f>
        <v>9802</v>
      </c>
      <c r="R109">
        <f>-M109-M18</f>
        <v>9802</v>
      </c>
    </row>
    <row r="110" spans="1:15" ht="12.75">
      <c r="A110" s="15"/>
      <c r="B110" s="28"/>
      <c r="C110" s="27">
        <f t="shared" si="7"/>
        <v>5</v>
      </c>
      <c r="D110" s="14" t="s">
        <v>106</v>
      </c>
      <c r="E110" s="111">
        <v>124</v>
      </c>
      <c r="F110" s="107"/>
      <c r="G110" s="111">
        <v>124</v>
      </c>
      <c r="H110" s="107"/>
      <c r="I110" s="111">
        <v>124</v>
      </c>
      <c r="J110" s="107"/>
      <c r="K110" s="111">
        <v>123</v>
      </c>
      <c r="L110" s="107"/>
      <c r="M110" s="141">
        <v>123</v>
      </c>
      <c r="N110" s="107"/>
      <c r="O110" s="151">
        <f t="shared" si="4"/>
        <v>1</v>
      </c>
    </row>
    <row r="111" spans="1:15" ht="12.75">
      <c r="A111" s="15"/>
      <c r="B111" s="28"/>
      <c r="C111" s="27">
        <f t="shared" si="7"/>
        <v>6</v>
      </c>
      <c r="D111" s="14" t="s">
        <v>107</v>
      </c>
      <c r="E111" s="111">
        <v>482</v>
      </c>
      <c r="F111" s="107"/>
      <c r="G111" s="111">
        <v>482</v>
      </c>
      <c r="H111" s="107"/>
      <c r="I111" s="111">
        <v>497</v>
      </c>
      <c r="J111" s="107"/>
      <c r="K111" s="111">
        <v>487</v>
      </c>
      <c r="L111" s="107"/>
      <c r="M111" s="141">
        <v>486</v>
      </c>
      <c r="N111" s="107"/>
      <c r="O111" s="151">
        <f t="shared" si="4"/>
        <v>0.997946611909651</v>
      </c>
    </row>
    <row r="112" spans="1:15" ht="12.75">
      <c r="A112" s="15"/>
      <c r="B112" s="28"/>
      <c r="C112" s="27">
        <f t="shared" si="7"/>
        <v>7</v>
      </c>
      <c r="D112" s="14" t="s">
        <v>108</v>
      </c>
      <c r="E112" s="111">
        <v>89</v>
      </c>
      <c r="F112" s="107"/>
      <c r="G112" s="111">
        <v>89</v>
      </c>
      <c r="H112" s="107"/>
      <c r="I112" s="111">
        <v>89</v>
      </c>
      <c r="J112" s="107"/>
      <c r="K112" s="111">
        <v>111</v>
      </c>
      <c r="L112" s="107"/>
      <c r="M112" s="141">
        <v>111</v>
      </c>
      <c r="N112" s="107"/>
      <c r="O112" s="151">
        <f t="shared" si="4"/>
        <v>1</v>
      </c>
    </row>
    <row r="113" spans="1:15" ht="12.75">
      <c r="A113" s="15"/>
      <c r="B113" s="28"/>
      <c r="C113" s="27">
        <f t="shared" si="7"/>
        <v>8</v>
      </c>
      <c r="D113" s="14" t="s">
        <v>151</v>
      </c>
      <c r="E113" s="111">
        <v>0</v>
      </c>
      <c r="F113" s="107"/>
      <c r="G113" s="111">
        <v>100</v>
      </c>
      <c r="H113" s="107"/>
      <c r="I113" s="111">
        <v>100</v>
      </c>
      <c r="J113" s="107"/>
      <c r="K113" s="111">
        <f>89+283</f>
        <v>372</v>
      </c>
      <c r="L113" s="107"/>
      <c r="M113" s="141">
        <f>89+283</f>
        <v>372</v>
      </c>
      <c r="N113" s="107"/>
      <c r="O113" s="151">
        <f t="shared" si="4"/>
        <v>1</v>
      </c>
    </row>
    <row r="114" spans="1:15" ht="12.75">
      <c r="A114" s="15"/>
      <c r="B114" s="28"/>
      <c r="C114" s="27">
        <f t="shared" si="7"/>
        <v>9</v>
      </c>
      <c r="D114" s="14" t="s">
        <v>133</v>
      </c>
      <c r="E114" s="111"/>
      <c r="F114" s="107"/>
      <c r="G114" s="111">
        <v>360</v>
      </c>
      <c r="H114" s="107"/>
      <c r="I114" s="111">
        <v>360</v>
      </c>
      <c r="J114" s="107"/>
      <c r="K114" s="111">
        <v>456</v>
      </c>
      <c r="L114" s="107"/>
      <c r="M114" s="141">
        <v>456</v>
      </c>
      <c r="N114" s="107"/>
      <c r="O114" s="151">
        <f t="shared" si="4"/>
        <v>1</v>
      </c>
    </row>
    <row r="115" spans="1:15" ht="12.75">
      <c r="A115" s="15"/>
      <c r="B115" s="28"/>
      <c r="C115" s="27">
        <f t="shared" si="7"/>
        <v>10</v>
      </c>
      <c r="D115" s="14" t="s">
        <v>134</v>
      </c>
      <c r="E115" s="111"/>
      <c r="F115" s="107"/>
      <c r="G115" s="111">
        <v>251</v>
      </c>
      <c r="H115" s="107"/>
      <c r="I115" s="111">
        <v>251</v>
      </c>
      <c r="J115" s="107"/>
      <c r="K115" s="111">
        <v>232</v>
      </c>
      <c r="L115" s="107"/>
      <c r="M115" s="141">
        <v>231</v>
      </c>
      <c r="N115" s="107"/>
      <c r="O115" s="151">
        <f t="shared" si="4"/>
        <v>0.9956896551724138</v>
      </c>
    </row>
    <row r="116" spans="1:15" ht="12.75">
      <c r="A116" s="15"/>
      <c r="B116" s="28"/>
      <c r="C116" s="27">
        <f t="shared" si="7"/>
        <v>11</v>
      </c>
      <c r="D116" s="14" t="s">
        <v>135</v>
      </c>
      <c r="E116" s="111"/>
      <c r="F116" s="107"/>
      <c r="G116" s="111">
        <v>80</v>
      </c>
      <c r="H116" s="107"/>
      <c r="I116" s="111">
        <v>80</v>
      </c>
      <c r="J116" s="107"/>
      <c r="K116" s="111">
        <v>70</v>
      </c>
      <c r="L116" s="107"/>
      <c r="M116" s="141">
        <v>69</v>
      </c>
      <c r="N116" s="107"/>
      <c r="O116" s="151">
        <f t="shared" si="4"/>
        <v>0.9857142857142858</v>
      </c>
    </row>
    <row r="117" spans="1:15" ht="12.75">
      <c r="A117" s="15"/>
      <c r="B117" s="28"/>
      <c r="C117" s="27">
        <f t="shared" si="7"/>
        <v>12</v>
      </c>
      <c r="D117" s="14" t="s">
        <v>136</v>
      </c>
      <c r="E117" s="104">
        <v>704</v>
      </c>
      <c r="F117" s="107"/>
      <c r="G117" s="104">
        <v>373</v>
      </c>
      <c r="H117" s="107"/>
      <c r="I117" s="104">
        <v>359</v>
      </c>
      <c r="J117" s="107"/>
      <c r="K117" s="104">
        <v>261</v>
      </c>
      <c r="L117" s="107"/>
      <c r="M117" s="44">
        <f>34+52+21+162+21-33-1</f>
        <v>256</v>
      </c>
      <c r="N117" s="107"/>
      <c r="O117" s="151">
        <f t="shared" si="4"/>
        <v>0.9808429118773946</v>
      </c>
    </row>
    <row r="118" spans="1:15" ht="13.5" thickBot="1">
      <c r="A118" s="20"/>
      <c r="B118" s="29"/>
      <c r="C118" s="29"/>
      <c r="D118" s="22" t="s">
        <v>21</v>
      </c>
      <c r="E118" s="97"/>
      <c r="F118" s="102">
        <f>SUM(E106:E117)</f>
        <v>-6410</v>
      </c>
      <c r="G118" s="97"/>
      <c r="H118" s="102">
        <f>SUM(G106:G117)</f>
        <v>-3809</v>
      </c>
      <c r="I118" s="97"/>
      <c r="J118" s="102">
        <f>SUM(I106:I117)</f>
        <v>-3857</v>
      </c>
      <c r="K118" s="97"/>
      <c r="L118" s="102">
        <f>SUM(K106:K117)</f>
        <v>-6113</v>
      </c>
      <c r="M118" s="97"/>
      <c r="N118" s="43">
        <f>SUM(M106:M117)</f>
        <v>-6120</v>
      </c>
      <c r="O118" s="152">
        <f aca="true" t="shared" si="8" ref="O118:O125">+N118/L118</f>
        <v>1.0011451006052674</v>
      </c>
    </row>
    <row r="119" spans="1:15" ht="13.5" thickBot="1">
      <c r="A119" s="30" t="s">
        <v>53</v>
      </c>
      <c r="B119" s="31" t="s">
        <v>109</v>
      </c>
      <c r="C119" s="31"/>
      <c r="D119" s="32" t="s">
        <v>110</v>
      </c>
      <c r="E119" s="87">
        <v>0</v>
      </c>
      <c r="F119" s="147"/>
      <c r="G119" s="87">
        <v>0</v>
      </c>
      <c r="H119" s="147"/>
      <c r="I119" s="87">
        <v>0</v>
      </c>
      <c r="J119" s="147"/>
      <c r="K119" s="87">
        <v>845</v>
      </c>
      <c r="L119" s="115">
        <f>SUM(K119)</f>
        <v>845</v>
      </c>
      <c r="M119" s="144">
        <v>845</v>
      </c>
      <c r="N119" s="53">
        <f>SUM(M119)</f>
        <v>845</v>
      </c>
      <c r="O119" s="152">
        <f t="shared" si="8"/>
        <v>1</v>
      </c>
    </row>
    <row r="120" spans="1:15" ht="13.5" thickBot="1">
      <c r="A120" s="49" t="s">
        <v>55</v>
      </c>
      <c r="B120" s="50" t="s">
        <v>52</v>
      </c>
      <c r="C120" s="50"/>
      <c r="D120" s="46"/>
      <c r="E120" s="112">
        <v>900</v>
      </c>
      <c r="F120" s="113">
        <f>SUM(E120)</f>
        <v>900</v>
      </c>
      <c r="G120" s="112">
        <v>1250</v>
      </c>
      <c r="H120" s="113">
        <f>SUM(G120)</f>
        <v>1250</v>
      </c>
      <c r="I120" s="112">
        <v>1250</v>
      </c>
      <c r="J120" s="113">
        <f>SUM(I120)</f>
        <v>1250</v>
      </c>
      <c r="K120" s="112">
        <v>2150</v>
      </c>
      <c r="L120" s="113">
        <f>SUM(K120)</f>
        <v>2150</v>
      </c>
      <c r="M120" s="136">
        <v>2143</v>
      </c>
      <c r="N120" s="137">
        <f>SUM(M120)</f>
        <v>2143</v>
      </c>
      <c r="O120" s="152">
        <f t="shared" si="8"/>
        <v>0.9967441860465116</v>
      </c>
    </row>
    <row r="121" spans="1:15" ht="13.5" thickBot="1">
      <c r="A121" s="51" t="s">
        <v>61</v>
      </c>
      <c r="B121" s="31" t="s">
        <v>62</v>
      </c>
      <c r="C121" s="45"/>
      <c r="D121" s="52"/>
      <c r="E121" s="114">
        <v>610</v>
      </c>
      <c r="F121" s="115">
        <f>SUM(E121)</f>
        <v>610</v>
      </c>
      <c r="G121" s="114">
        <v>610</v>
      </c>
      <c r="H121" s="115">
        <f>SUM(G121)</f>
        <v>610</v>
      </c>
      <c r="I121" s="114">
        <v>610</v>
      </c>
      <c r="J121" s="115">
        <f>SUM(I121)</f>
        <v>610</v>
      </c>
      <c r="K121" s="114">
        <v>588</v>
      </c>
      <c r="L121" s="115">
        <f>SUM(K121)</f>
        <v>588</v>
      </c>
      <c r="M121" s="145">
        <f>64145+536</f>
        <v>64681</v>
      </c>
      <c r="N121" s="53">
        <f>SUM(M121)</f>
        <v>64681</v>
      </c>
      <c r="O121" s="152"/>
    </row>
    <row r="122" spans="1:15" ht="12.75">
      <c r="A122" s="34"/>
      <c r="B122" s="25" t="s">
        <v>111</v>
      </c>
      <c r="C122" s="25"/>
      <c r="D122" s="10"/>
      <c r="E122" s="106"/>
      <c r="F122" s="116">
        <f>SUM(F65:F121)</f>
        <v>80462</v>
      </c>
      <c r="G122" s="106"/>
      <c r="H122" s="116">
        <f>SUM(H65:H121)</f>
        <v>82013</v>
      </c>
      <c r="I122" s="106"/>
      <c r="J122" s="116">
        <f>SUM(J65:J121)</f>
        <v>84241</v>
      </c>
      <c r="K122" s="106"/>
      <c r="L122" s="116">
        <f>SUM(L65:L121)</f>
        <v>88772</v>
      </c>
      <c r="M122" s="106"/>
      <c r="N122" s="54">
        <f>SUM(N65:N121)</f>
        <v>152458</v>
      </c>
      <c r="O122" s="152">
        <f t="shared" si="8"/>
        <v>1.7174108953273555</v>
      </c>
    </row>
    <row r="123" spans="1:18" ht="13.5" thickBot="1">
      <c r="A123" s="36"/>
      <c r="B123" s="29" t="s">
        <v>112</v>
      </c>
      <c r="C123" s="29"/>
      <c r="D123" s="22"/>
      <c r="E123" s="97"/>
      <c r="F123" s="117">
        <f>+F122-610</f>
        <v>79852</v>
      </c>
      <c r="G123" s="97"/>
      <c r="H123" s="117">
        <f>+H122-610</f>
        <v>81403</v>
      </c>
      <c r="I123" s="97"/>
      <c r="J123" s="117">
        <f>+J122-610</f>
        <v>83631</v>
      </c>
      <c r="K123" s="97"/>
      <c r="L123" s="117">
        <f>+L122-588</f>
        <v>88184</v>
      </c>
      <c r="M123" s="97"/>
      <c r="N123" s="55">
        <f>+N122-64733</f>
        <v>87725</v>
      </c>
      <c r="O123" s="152">
        <f t="shared" si="8"/>
        <v>0.9947949741449696</v>
      </c>
      <c r="P123" t="s">
        <v>113</v>
      </c>
      <c r="Q123" s="38">
        <f>+L123-L93+Q109</f>
        <v>53265</v>
      </c>
      <c r="R123" s="38">
        <f>+N123-N93+Q109</f>
        <v>52875</v>
      </c>
    </row>
    <row r="124" spans="1:15" ht="13.5" thickBot="1">
      <c r="A124" s="56"/>
      <c r="B124" s="56"/>
      <c r="C124" s="56"/>
      <c r="D124" s="56"/>
      <c r="E124" s="118"/>
      <c r="F124" s="119"/>
      <c r="G124" s="118"/>
      <c r="H124" s="119"/>
      <c r="I124" s="118"/>
      <c r="J124" s="119"/>
      <c r="K124" s="118"/>
      <c r="L124" s="119"/>
      <c r="M124" s="118"/>
      <c r="N124" s="119"/>
      <c r="O124" s="152"/>
    </row>
    <row r="125" spans="1:18" ht="13.5" thickBot="1">
      <c r="A125" s="57"/>
      <c r="B125" s="58" t="s">
        <v>114</v>
      </c>
      <c r="C125" s="59"/>
      <c r="D125" s="60"/>
      <c r="E125" s="115"/>
      <c r="F125" s="115">
        <f>+F53-F123</f>
        <v>-15555.120000000003</v>
      </c>
      <c r="G125" s="115"/>
      <c r="H125" s="115">
        <f>+H53-H123</f>
        <v>-16513.120000000003</v>
      </c>
      <c r="I125" s="115"/>
      <c r="J125" s="115">
        <f>+J53-J123</f>
        <v>-16400.119999999995</v>
      </c>
      <c r="K125" s="115"/>
      <c r="L125" s="115">
        <f>+L53-L123</f>
        <v>-20558</v>
      </c>
      <c r="M125" s="115"/>
      <c r="N125" s="53">
        <f>+N53-N123</f>
        <v>-21154.119999999995</v>
      </c>
      <c r="O125" s="152">
        <f t="shared" si="8"/>
        <v>1.028996984142426</v>
      </c>
      <c r="P125" t="s">
        <v>115</v>
      </c>
      <c r="Q125" s="38">
        <f>+Q53-Q123</f>
        <v>8859</v>
      </c>
      <c r="R125" s="38">
        <f>+R53-R123</f>
        <v>8606.880000000005</v>
      </c>
    </row>
    <row r="126" spans="1:18" ht="12.75">
      <c r="A126" s="56"/>
      <c r="B126" s="61" t="s">
        <v>116</v>
      </c>
      <c r="C126" s="34" t="s">
        <v>137</v>
      </c>
      <c r="D126" s="62"/>
      <c r="E126" s="109">
        <v>25000</v>
      </c>
      <c r="F126" s="120"/>
      <c r="G126" s="109">
        <f>25000+1061</f>
        <v>26061</v>
      </c>
      <c r="H126" s="120"/>
      <c r="I126" s="109">
        <f>25000+1061</f>
        <v>26061</v>
      </c>
      <c r="J126" s="120"/>
      <c r="K126" s="109">
        <f>25000+967</f>
        <v>25967</v>
      </c>
      <c r="L126" s="120"/>
      <c r="M126" s="109">
        <f>25000+967</f>
        <v>25967</v>
      </c>
      <c r="N126" s="120"/>
      <c r="O126" s="151">
        <f t="shared" si="4"/>
        <v>1</v>
      </c>
      <c r="P126" t="s">
        <v>117</v>
      </c>
      <c r="Q126" s="11">
        <f>+Q125/Q53</f>
        <v>0.14260189298821713</v>
      </c>
      <c r="R126" s="11">
        <f>+R125/R53</f>
        <v>0.1399905142783533</v>
      </c>
    </row>
    <row r="127" spans="2:15" ht="12.75">
      <c r="B127" s="61"/>
      <c r="C127" s="63" t="s">
        <v>118</v>
      </c>
      <c r="D127" s="64"/>
      <c r="E127" s="65">
        <f>-606-224-3000-1875-2873</f>
        <v>-8578</v>
      </c>
      <c r="F127" s="121"/>
      <c r="G127" s="65">
        <f>-606-224-3000-1875-2873-130</f>
        <v>-8708</v>
      </c>
      <c r="H127" s="121"/>
      <c r="I127" s="65">
        <f>-606-224-3000-1875-2873-143</f>
        <v>-8721</v>
      </c>
      <c r="J127" s="121"/>
      <c r="K127" s="65">
        <f>-606-224-1875-2873-91-600</f>
        <v>-6269</v>
      </c>
      <c r="L127" s="121"/>
      <c r="M127" s="155">
        <f>-606-224-1875-2873-90</f>
        <v>-5668</v>
      </c>
      <c r="N127" s="66"/>
      <c r="O127" s="151">
        <f t="shared" si="4"/>
        <v>0.9041314404211198</v>
      </c>
    </row>
    <row r="128" spans="2:15" ht="12.75">
      <c r="B128" s="61"/>
      <c r="C128" s="156" t="s">
        <v>163</v>
      </c>
      <c r="D128" s="157"/>
      <c r="E128" s="158"/>
      <c r="F128" s="159"/>
      <c r="G128" s="158"/>
      <c r="H128" s="159"/>
      <c r="I128" s="158"/>
      <c r="J128" s="159"/>
      <c r="K128" s="158"/>
      <c r="L128" s="159"/>
      <c r="M128" s="160">
        <f>-2670+2727</f>
        <v>57</v>
      </c>
      <c r="N128" s="161"/>
      <c r="O128" s="151"/>
    </row>
    <row r="129" spans="2:16" ht="13.5" thickBot="1">
      <c r="B129" s="67" t="s">
        <v>119</v>
      </c>
      <c r="C129" s="36" t="s">
        <v>120</v>
      </c>
      <c r="D129" s="68"/>
      <c r="E129" s="101">
        <v>-27</v>
      </c>
      <c r="F129" s="102">
        <f>SUM(E126:E129)</f>
        <v>16395</v>
      </c>
      <c r="G129" s="101">
        <v>0</v>
      </c>
      <c r="H129" s="102">
        <f>SUM(G126:G129)</f>
        <v>17353</v>
      </c>
      <c r="I129" s="101">
        <v>400</v>
      </c>
      <c r="J129" s="102">
        <f>SUM(I126:I129)</f>
        <v>17740</v>
      </c>
      <c r="K129" s="101">
        <v>860</v>
      </c>
      <c r="L129" s="102">
        <f>SUM(K126:K129)</f>
        <v>20558</v>
      </c>
      <c r="M129" s="143">
        <v>798</v>
      </c>
      <c r="N129" s="43">
        <f>SUM(M126:M129)</f>
        <v>21154</v>
      </c>
      <c r="O129" s="151">
        <f t="shared" si="4"/>
        <v>0.9279069767441861</v>
      </c>
      <c r="P129" s="38">
        <f>SUM(L125:L129)</f>
        <v>0</v>
      </c>
    </row>
    <row r="130" spans="2:15" ht="12.75">
      <c r="B130" s="69" t="s">
        <v>121</v>
      </c>
      <c r="C130" s="26"/>
      <c r="D130" s="26"/>
      <c r="E130" s="122">
        <v>3802</v>
      </c>
      <c r="F130" s="120" t="s">
        <v>122</v>
      </c>
      <c r="G130" s="122">
        <v>3802</v>
      </c>
      <c r="H130" s="120" t="s">
        <v>122</v>
      </c>
      <c r="I130" s="122">
        <v>3802</v>
      </c>
      <c r="J130" s="120" t="s">
        <v>122</v>
      </c>
      <c r="K130" s="122">
        <v>3789</v>
      </c>
      <c r="L130" s="120" t="s">
        <v>122</v>
      </c>
      <c r="M130" s="122">
        <v>3789</v>
      </c>
      <c r="N130" s="120" t="s">
        <v>122</v>
      </c>
      <c r="O130" s="151">
        <f t="shared" si="4"/>
        <v>1</v>
      </c>
    </row>
    <row r="131" spans="2:15" ht="12.75">
      <c r="B131" s="63" t="s">
        <v>123</v>
      </c>
      <c r="C131" s="27"/>
      <c r="D131" s="27"/>
      <c r="E131" s="123">
        <f>+E129-E134</f>
        <v>-27</v>
      </c>
      <c r="F131" s="100" t="s">
        <v>122</v>
      </c>
      <c r="G131" s="123">
        <f>+G129-G134</f>
        <v>0</v>
      </c>
      <c r="H131" s="100" t="s">
        <v>122</v>
      </c>
      <c r="I131" s="123">
        <f>+I129-I134</f>
        <v>400</v>
      </c>
      <c r="J131" s="100" t="s">
        <v>122</v>
      </c>
      <c r="K131" s="123">
        <f>+K129-K134</f>
        <v>860</v>
      </c>
      <c r="L131" s="100" t="s">
        <v>122</v>
      </c>
      <c r="M131" s="123">
        <f>+M129-M134</f>
        <v>850</v>
      </c>
      <c r="N131" s="100" t="s">
        <v>122</v>
      </c>
      <c r="O131" s="151">
        <f>+M131/K131</f>
        <v>0.9883720930232558</v>
      </c>
    </row>
    <row r="132" spans="2:15" ht="13.5" thickBot="1">
      <c r="B132" s="36" t="s">
        <v>124</v>
      </c>
      <c r="C132" s="29"/>
      <c r="D132" s="29"/>
      <c r="E132" s="124">
        <f>+E130-E131</f>
        <v>3829</v>
      </c>
      <c r="F132" s="102" t="s">
        <v>122</v>
      </c>
      <c r="G132" s="124">
        <f>+G130-G131</f>
        <v>3802</v>
      </c>
      <c r="H132" s="102" t="s">
        <v>122</v>
      </c>
      <c r="I132" s="124">
        <f>+I130-I131</f>
        <v>3402</v>
      </c>
      <c r="J132" s="102" t="s">
        <v>122</v>
      </c>
      <c r="K132" s="124">
        <f>+K130-K131</f>
        <v>2929</v>
      </c>
      <c r="L132" s="102" t="s">
        <v>122</v>
      </c>
      <c r="M132" s="139">
        <f>+M130-M131</f>
        <v>2939</v>
      </c>
      <c r="N132" s="102" t="s">
        <v>122</v>
      </c>
      <c r="O132" s="151">
        <f>+M132/K132</f>
        <v>1.0034141345168999</v>
      </c>
    </row>
    <row r="133" spans="2:15" ht="12.75">
      <c r="B133" s="34" t="s">
        <v>125</v>
      </c>
      <c r="C133" s="25"/>
      <c r="D133" s="25"/>
      <c r="E133" s="125">
        <v>198</v>
      </c>
      <c r="F133" s="93" t="s">
        <v>122</v>
      </c>
      <c r="G133" s="125">
        <v>198</v>
      </c>
      <c r="H133" s="93" t="s">
        <v>122</v>
      </c>
      <c r="I133" s="125">
        <v>198</v>
      </c>
      <c r="J133" s="93" t="s">
        <v>122</v>
      </c>
      <c r="K133" s="125">
        <v>198</v>
      </c>
      <c r="L133" s="93" t="s">
        <v>122</v>
      </c>
      <c r="M133" s="125">
        <v>198</v>
      </c>
      <c r="N133" s="93" t="s">
        <v>122</v>
      </c>
      <c r="O133" s="151">
        <f>+M133/K133</f>
        <v>1</v>
      </c>
    </row>
    <row r="134" spans="2:15" ht="12.75">
      <c r="B134" s="63" t="s">
        <v>126</v>
      </c>
      <c r="C134" s="27"/>
      <c r="D134" s="27"/>
      <c r="E134" s="123">
        <f>E121-E51</f>
        <v>0</v>
      </c>
      <c r="F134" s="95" t="s">
        <v>122</v>
      </c>
      <c r="G134" s="123">
        <f>G121-G51</f>
        <v>0</v>
      </c>
      <c r="H134" s="95" t="s">
        <v>122</v>
      </c>
      <c r="I134" s="123">
        <f>I121-I51</f>
        <v>0</v>
      </c>
      <c r="J134" s="95" t="s">
        <v>122</v>
      </c>
      <c r="K134" s="123">
        <f>K121-K51</f>
        <v>0</v>
      </c>
      <c r="L134" s="95" t="s">
        <v>122</v>
      </c>
      <c r="M134" s="123">
        <f>+M121-M51</f>
        <v>-52</v>
      </c>
      <c r="N134" s="95" t="s">
        <v>122</v>
      </c>
      <c r="O134" s="151"/>
    </row>
    <row r="135" spans="2:15" ht="13.5" thickBot="1">
      <c r="B135" s="36" t="s">
        <v>127</v>
      </c>
      <c r="C135" s="29"/>
      <c r="D135" s="29"/>
      <c r="E135" s="124">
        <f>+E133-E134</f>
        <v>198</v>
      </c>
      <c r="F135" s="108" t="s">
        <v>122</v>
      </c>
      <c r="G135" s="124">
        <f>+G133-G134</f>
        <v>198</v>
      </c>
      <c r="H135" s="108" t="s">
        <v>122</v>
      </c>
      <c r="I135" s="124">
        <f>+I133-I134</f>
        <v>198</v>
      </c>
      <c r="J135" s="108" t="s">
        <v>122</v>
      </c>
      <c r="K135" s="124">
        <f>+K133-K134</f>
        <v>198</v>
      </c>
      <c r="L135" s="108" t="s">
        <v>122</v>
      </c>
      <c r="M135" s="124">
        <f>+M133-M134</f>
        <v>250</v>
      </c>
      <c r="N135" s="108" t="s">
        <v>122</v>
      </c>
      <c r="O135" s="151">
        <f>+M135/K135</f>
        <v>1.2626262626262625</v>
      </c>
    </row>
    <row r="137" ht="12.75">
      <c r="B137" s="56"/>
    </row>
    <row r="627" ht="12.75">
      <c r="J627" s="126" t="s">
        <v>154</v>
      </c>
    </row>
  </sheetData>
  <sheetProtection/>
  <mergeCells count="10">
    <mergeCell ref="E54:F54"/>
    <mergeCell ref="E1:F1"/>
    <mergeCell ref="G1:H1"/>
    <mergeCell ref="G54:H54"/>
    <mergeCell ref="M1:N1"/>
    <mergeCell ref="M54:N54"/>
    <mergeCell ref="I1:J1"/>
    <mergeCell ref="I54:J54"/>
    <mergeCell ref="K1:L1"/>
    <mergeCell ref="K54:L54"/>
  </mergeCells>
  <printOptions/>
  <pageMargins left="1.08" right="0.65" top="0.6" bottom="0.36" header="0.27" footer="0.27"/>
  <pageSetup horizontalDpi="600" verticalDpi="600" orientation="portrait" paperSize="9" scale="80" r:id="rId1"/>
  <headerFooter alignWithMargins="0">
    <oddHeader>&amp;C&amp;9Závěrečný účet města Blovice za rok 2012&amp;"Arial Black,Obyčejné"&amp;12 
Příjmy a výdaje města Blovice za r.2012</oddHeader>
    <oddFooter>&amp;Lvyvěšeno: 
sejmuto:
&amp;Rsestavil: Ing.Hodek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H49" sqref="H49"/>
    </sheetView>
  </sheetViews>
  <sheetFormatPr defaultColWidth="8.8515625" defaultRowHeight="12.75"/>
  <cols>
    <col min="1" max="2" width="8.8515625" style="174" customWidth="1"/>
    <col min="3" max="3" width="3.8515625" style="174" customWidth="1"/>
    <col min="4" max="4" width="22.421875" style="174" customWidth="1"/>
    <col min="5" max="5" width="8.8515625" style="174" customWidth="1"/>
    <col min="6" max="6" width="7.57421875" style="174" customWidth="1"/>
    <col min="7" max="7" width="8.8515625" style="174" customWidth="1"/>
    <col min="8" max="8" width="7.421875" style="174" customWidth="1"/>
    <col min="9" max="9" width="5.7109375" style="174" customWidth="1"/>
    <col min="10" max="10" width="8.140625" style="174" customWidth="1"/>
    <col min="11" max="11" width="6.7109375" style="174" customWidth="1"/>
    <col min="12" max="12" width="3.8515625" style="174" customWidth="1"/>
    <col min="13" max="16384" width="8.8515625" style="174" customWidth="1"/>
  </cols>
  <sheetData>
    <row r="1" spans="1:10" ht="15.75">
      <c r="A1" s="389" t="s">
        <v>224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16.5" thickBot="1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6.5" thickBot="1">
      <c r="A3" s="199" t="s">
        <v>184</v>
      </c>
      <c r="B3" s="200"/>
      <c r="C3" s="200"/>
      <c r="D3" s="201"/>
      <c r="E3" s="394" t="s">
        <v>225</v>
      </c>
      <c r="F3" s="395"/>
      <c r="G3" s="386" t="s">
        <v>226</v>
      </c>
      <c r="H3" s="387"/>
      <c r="I3" s="390" t="s">
        <v>186</v>
      </c>
      <c r="J3" s="391"/>
    </row>
    <row r="4" spans="1:10" ht="13.5" thickBot="1">
      <c r="A4" s="202" t="s">
        <v>187</v>
      </c>
      <c r="B4" s="203"/>
      <c r="C4" s="203"/>
      <c r="D4" s="203"/>
      <c r="E4" s="204"/>
      <c r="F4" s="205">
        <f>SUM(F5:F7)</f>
        <v>473939</v>
      </c>
      <c r="G4" s="206"/>
      <c r="H4" s="207">
        <f>SUM(H5:H7)</f>
        <v>491070</v>
      </c>
      <c r="I4" s="208"/>
      <c r="J4" s="209">
        <f aca="true" t="shared" si="0" ref="J4:J12">+H4/F4</f>
        <v>1.0361460019116384</v>
      </c>
    </row>
    <row r="5" spans="1:10" ht="12.75">
      <c r="A5" s="210" t="s">
        <v>188</v>
      </c>
      <c r="B5" s="211" t="s">
        <v>189</v>
      </c>
      <c r="C5" s="203"/>
      <c r="D5" s="212"/>
      <c r="E5" s="213"/>
      <c r="F5" s="214">
        <v>2064</v>
      </c>
      <c r="G5" s="215"/>
      <c r="H5" s="216">
        <v>1934</v>
      </c>
      <c r="I5" s="217"/>
      <c r="J5" s="218">
        <f t="shared" si="0"/>
        <v>0.937015503875969</v>
      </c>
    </row>
    <row r="6" spans="1:10" ht="12.75">
      <c r="A6" s="217"/>
      <c r="B6" s="219" t="s">
        <v>190</v>
      </c>
      <c r="C6" s="183"/>
      <c r="D6" s="220"/>
      <c r="E6" s="213"/>
      <c r="F6" s="214">
        <v>471564</v>
      </c>
      <c r="G6" s="215"/>
      <c r="H6" s="216">
        <v>488881</v>
      </c>
      <c r="I6" s="217"/>
      <c r="J6" s="218">
        <f t="shared" si="0"/>
        <v>1.0367224809357796</v>
      </c>
    </row>
    <row r="7" spans="1:10" ht="13.5" thickBot="1">
      <c r="A7" s="221"/>
      <c r="B7" s="222" t="s">
        <v>191</v>
      </c>
      <c r="C7" s="223"/>
      <c r="D7" s="224"/>
      <c r="E7" s="225"/>
      <c r="F7" s="226">
        <v>311</v>
      </c>
      <c r="G7" s="227"/>
      <c r="H7" s="228">
        <v>255</v>
      </c>
      <c r="I7" s="221"/>
      <c r="J7" s="229">
        <f t="shared" si="0"/>
        <v>0.819935691318328</v>
      </c>
    </row>
    <row r="8" spans="1:10" ht="13.5" thickBot="1">
      <c r="A8" s="202" t="s">
        <v>192</v>
      </c>
      <c r="B8" s="230"/>
      <c r="C8" s="203"/>
      <c r="D8" s="203"/>
      <c r="E8" s="204"/>
      <c r="F8" s="205">
        <f>SUM(F9:F11)</f>
        <v>19761</v>
      </c>
      <c r="G8" s="231"/>
      <c r="H8" s="232">
        <f>SUM(G9:H11)</f>
        <v>15829</v>
      </c>
      <c r="I8" s="208"/>
      <c r="J8" s="209">
        <f t="shared" si="0"/>
        <v>0.8010222154749254</v>
      </c>
    </row>
    <row r="9" spans="1:10" ht="12.75">
      <c r="A9" s="210" t="s">
        <v>188</v>
      </c>
      <c r="B9" s="233" t="s">
        <v>193</v>
      </c>
      <c r="C9" s="203"/>
      <c r="D9" s="212"/>
      <c r="E9" s="213"/>
      <c r="F9" s="214">
        <v>170</v>
      </c>
      <c r="G9" s="215"/>
      <c r="H9" s="216">
        <v>57</v>
      </c>
      <c r="I9" s="234"/>
      <c r="J9" s="218">
        <f t="shared" si="0"/>
        <v>0.3352941176470588</v>
      </c>
    </row>
    <row r="10" spans="1:10" ht="12.75">
      <c r="A10" s="217"/>
      <c r="B10" s="219" t="s">
        <v>194</v>
      </c>
      <c r="C10" s="183"/>
      <c r="D10" s="220"/>
      <c r="E10" s="213"/>
      <c r="F10" s="214">
        <v>15000</v>
      </c>
      <c r="G10" s="215"/>
      <c r="H10" s="216">
        <v>9804</v>
      </c>
      <c r="I10" s="217"/>
      <c r="J10" s="218">
        <f t="shared" si="0"/>
        <v>0.6536</v>
      </c>
    </row>
    <row r="11" spans="1:10" ht="13.5" thickBot="1">
      <c r="A11" s="221"/>
      <c r="B11" s="222" t="s">
        <v>195</v>
      </c>
      <c r="C11" s="223"/>
      <c r="D11" s="224"/>
      <c r="E11" s="225"/>
      <c r="F11" s="226">
        <v>4591</v>
      </c>
      <c r="G11" s="215"/>
      <c r="H11" s="216">
        <v>5968</v>
      </c>
      <c r="I11" s="221"/>
      <c r="J11" s="229">
        <f t="shared" si="0"/>
        <v>1.2999346547593118</v>
      </c>
    </row>
    <row r="12" spans="1:10" ht="13.5" thickBot="1">
      <c r="A12" s="236" t="s">
        <v>196</v>
      </c>
      <c r="B12" s="225"/>
      <c r="C12" s="223"/>
      <c r="D12" s="224"/>
      <c r="E12" s="204"/>
      <c r="F12" s="300">
        <f>+F4+F8</f>
        <v>493700</v>
      </c>
      <c r="G12" s="237"/>
      <c r="H12" s="301">
        <f>+H4+H8</f>
        <v>506899</v>
      </c>
      <c r="I12" s="238"/>
      <c r="J12" s="239">
        <f t="shared" si="0"/>
        <v>1.0267348592262509</v>
      </c>
    </row>
    <row r="13" spans="2:6" ht="13.5" thickBot="1">
      <c r="B13" s="240"/>
      <c r="E13" s="240"/>
      <c r="F13" s="240"/>
    </row>
    <row r="14" spans="1:10" ht="16.5" thickBot="1">
      <c r="A14" s="199" t="s">
        <v>197</v>
      </c>
      <c r="B14" s="241"/>
      <c r="C14" s="200"/>
      <c r="D14" s="201"/>
      <c r="E14" s="394" t="s">
        <v>225</v>
      </c>
      <c r="F14" s="395"/>
      <c r="G14" s="386" t="s">
        <v>226</v>
      </c>
      <c r="H14" s="387"/>
      <c r="I14" s="390" t="s">
        <v>186</v>
      </c>
      <c r="J14" s="391"/>
    </row>
    <row r="15" spans="1:10" ht="13.5" thickBot="1">
      <c r="A15" s="202" t="s">
        <v>198</v>
      </c>
      <c r="B15" s="230"/>
      <c r="C15" s="203"/>
      <c r="D15" s="212"/>
      <c r="E15" s="204"/>
      <c r="F15" s="205">
        <f>SUM(F16:F18)</f>
        <v>390282</v>
      </c>
      <c r="G15" s="242"/>
      <c r="H15" s="207">
        <f>SUM(H16:H18)</f>
        <v>423922</v>
      </c>
      <c r="I15" s="208"/>
      <c r="J15" s="209">
        <f aca="true" t="shared" si="1" ref="J15:J22">+H15/F15</f>
        <v>1.0861940853024223</v>
      </c>
    </row>
    <row r="16" spans="1:10" ht="12.75">
      <c r="A16" s="210" t="s">
        <v>188</v>
      </c>
      <c r="B16" s="211" t="s">
        <v>199</v>
      </c>
      <c r="C16" s="203"/>
      <c r="D16" s="212"/>
      <c r="E16" s="213"/>
      <c r="F16" s="214">
        <v>378619</v>
      </c>
      <c r="G16" s="243"/>
      <c r="H16" s="243">
        <v>405526</v>
      </c>
      <c r="I16" s="217"/>
      <c r="J16" s="218">
        <f t="shared" si="1"/>
        <v>1.0710661641386197</v>
      </c>
    </row>
    <row r="17" spans="1:10" ht="12.75">
      <c r="A17" s="217"/>
      <c r="B17" s="219" t="s">
        <v>200</v>
      </c>
      <c r="C17" s="183"/>
      <c r="D17" s="220"/>
      <c r="E17" s="213"/>
      <c r="F17" s="214">
        <v>261</v>
      </c>
      <c r="G17" s="243"/>
      <c r="H17" s="243">
        <v>300</v>
      </c>
      <c r="I17" s="217"/>
      <c r="J17" s="218">
        <f t="shared" si="1"/>
        <v>1.1494252873563218</v>
      </c>
    </row>
    <row r="18" spans="1:10" ht="13.5" thickBot="1">
      <c r="A18" s="221"/>
      <c r="B18" s="222" t="s">
        <v>201</v>
      </c>
      <c r="C18" s="223"/>
      <c r="D18" s="224"/>
      <c r="E18" s="225"/>
      <c r="F18" s="226">
        <v>11402</v>
      </c>
      <c r="G18" s="244"/>
      <c r="H18" s="244">
        <v>18096</v>
      </c>
      <c r="I18" s="217"/>
      <c r="J18" s="218">
        <f t="shared" si="1"/>
        <v>1.587089984213296</v>
      </c>
    </row>
    <row r="19" spans="1:10" ht="13.5" thickBot="1">
      <c r="A19" s="245" t="s">
        <v>202</v>
      </c>
      <c r="B19" s="213"/>
      <c r="C19" s="183"/>
      <c r="D19" s="220"/>
      <c r="E19" s="204"/>
      <c r="F19" s="205">
        <f>SUM(E20:F21)</f>
        <v>103418</v>
      </c>
      <c r="G19" s="246"/>
      <c r="H19" s="246">
        <f>SUM(G20:H21)</f>
        <v>82977</v>
      </c>
      <c r="I19" s="208"/>
      <c r="J19" s="209">
        <f t="shared" si="1"/>
        <v>0.8023458198766172</v>
      </c>
    </row>
    <row r="20" spans="1:10" ht="12.75">
      <c r="A20" s="210" t="s">
        <v>188</v>
      </c>
      <c r="B20" s="211" t="s">
        <v>203</v>
      </c>
      <c r="C20" s="203"/>
      <c r="D20" s="212"/>
      <c r="E20" s="247"/>
      <c r="F20" s="214">
        <v>30937</v>
      </c>
      <c r="G20" s="248"/>
      <c r="H20" s="248">
        <v>53043</v>
      </c>
      <c r="I20" s="217"/>
      <c r="J20" s="218">
        <f t="shared" si="1"/>
        <v>1.7145489220027799</v>
      </c>
    </row>
    <row r="21" spans="1:10" ht="13.5" thickBot="1">
      <c r="A21" s="221"/>
      <c r="B21" s="222" t="s">
        <v>204</v>
      </c>
      <c r="C21" s="223"/>
      <c r="D21" s="224"/>
      <c r="E21" s="247"/>
      <c r="F21" s="214">
        <v>72481</v>
      </c>
      <c r="G21" s="248"/>
      <c r="H21" s="248">
        <v>29934</v>
      </c>
      <c r="I21" s="217"/>
      <c r="J21" s="218">
        <f t="shared" si="1"/>
        <v>0.4129909907424015</v>
      </c>
    </row>
    <row r="22" spans="1:10" ht="13.5" thickBot="1">
      <c r="A22" s="236" t="s">
        <v>205</v>
      </c>
      <c r="B22" s="223"/>
      <c r="C22" s="223"/>
      <c r="D22" s="224"/>
      <c r="E22" s="204"/>
      <c r="F22" s="302">
        <f>+F15+F19</f>
        <v>493700</v>
      </c>
      <c r="G22" s="249"/>
      <c r="H22" s="301">
        <f>+H15+H19</f>
        <v>506899</v>
      </c>
      <c r="I22" s="208"/>
      <c r="J22" s="239">
        <f t="shared" si="1"/>
        <v>1.0267348592262509</v>
      </c>
    </row>
    <row r="23" ht="12.75">
      <c r="A23" s="240"/>
    </row>
    <row r="24" ht="12.75">
      <c r="A24" s="240"/>
    </row>
    <row r="25" spans="1:10" ht="15.75">
      <c r="A25" s="389" t="s">
        <v>227</v>
      </c>
      <c r="B25" s="389"/>
      <c r="C25" s="389"/>
      <c r="D25" s="389"/>
      <c r="E25" s="389"/>
      <c r="F25" s="389"/>
      <c r="G25" s="389"/>
      <c r="H25" s="389"/>
      <c r="I25" s="389"/>
      <c r="J25" s="389"/>
    </row>
    <row r="26" spans="1:10" ht="16.5" thickBo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</row>
    <row r="27" spans="1:10" ht="13.5" thickBot="1">
      <c r="A27" s="250" t="s">
        <v>206</v>
      </c>
      <c r="B27" s="234"/>
      <c r="C27" s="203"/>
      <c r="D27" s="203"/>
      <c r="E27" s="380" t="s">
        <v>185</v>
      </c>
      <c r="F27" s="381"/>
      <c r="G27" s="382" t="s">
        <v>226</v>
      </c>
      <c r="H27" s="383"/>
      <c r="I27" s="388" t="s">
        <v>186</v>
      </c>
      <c r="J27" s="385"/>
    </row>
    <row r="28" spans="1:10" ht="13.5" thickBot="1">
      <c r="A28" s="231" t="s">
        <v>207</v>
      </c>
      <c r="B28" s="246"/>
      <c r="C28" s="246"/>
      <c r="D28" s="246"/>
      <c r="E28" s="251"/>
      <c r="F28" s="252">
        <f>SUM(E29:F31)</f>
        <v>51739</v>
      </c>
      <c r="G28" s="253"/>
      <c r="H28" s="207">
        <f>SUM(G29:H31)</f>
        <v>62250</v>
      </c>
      <c r="I28" s="238"/>
      <c r="J28" s="239">
        <f aca="true" t="shared" si="2" ref="J28:J39">+H28/F28</f>
        <v>1.2031542936662865</v>
      </c>
    </row>
    <row r="29" spans="1:10" ht="12.75">
      <c r="A29" s="217" t="s">
        <v>188</v>
      </c>
      <c r="B29" s="213" t="s">
        <v>208</v>
      </c>
      <c r="C29" s="183"/>
      <c r="D29" s="183"/>
      <c r="E29" s="254"/>
      <c r="F29" s="255">
        <v>42201</v>
      </c>
      <c r="G29" s="256"/>
      <c r="H29" s="257">
        <v>51668</v>
      </c>
      <c r="I29" s="183"/>
      <c r="J29" s="218">
        <f t="shared" si="2"/>
        <v>1.2243311769863274</v>
      </c>
    </row>
    <row r="30" spans="1:10" ht="12.75">
      <c r="A30" s="217"/>
      <c r="B30" s="213" t="s">
        <v>209</v>
      </c>
      <c r="C30" s="183"/>
      <c r="D30" s="183"/>
      <c r="E30" s="254"/>
      <c r="F30" s="255">
        <v>1198</v>
      </c>
      <c r="G30" s="256"/>
      <c r="H30" s="257">
        <v>1559</v>
      </c>
      <c r="I30" s="183"/>
      <c r="J30" s="218">
        <f t="shared" si="2"/>
        <v>1.3013355592654423</v>
      </c>
    </row>
    <row r="31" spans="1:10" ht="13.5" thickBot="1">
      <c r="A31" s="221"/>
      <c r="B31" s="222" t="s">
        <v>210</v>
      </c>
      <c r="C31" s="223"/>
      <c r="D31" s="223"/>
      <c r="E31" s="258"/>
      <c r="F31" s="259">
        <v>8340</v>
      </c>
      <c r="G31" s="260"/>
      <c r="H31" s="261">
        <v>9023</v>
      </c>
      <c r="I31" s="183"/>
      <c r="J31" s="218">
        <f t="shared" si="2"/>
        <v>1.08189448441247</v>
      </c>
    </row>
    <row r="32" spans="1:10" ht="13.5" thickBot="1">
      <c r="A32" s="231" t="s">
        <v>211</v>
      </c>
      <c r="B32" s="246"/>
      <c r="C32" s="246"/>
      <c r="D32" s="246"/>
      <c r="E32" s="251"/>
      <c r="F32" s="252">
        <f>SUM(F33:F36)</f>
        <v>62263</v>
      </c>
      <c r="G32" s="253"/>
      <c r="H32" s="207">
        <f>SUM(H33:H36)</f>
        <v>69148</v>
      </c>
      <c r="I32" s="238"/>
      <c r="J32" s="239">
        <f t="shared" si="2"/>
        <v>1.1105793167691889</v>
      </c>
    </row>
    <row r="33" spans="1:10" ht="12.75">
      <c r="A33" s="247" t="s">
        <v>188</v>
      </c>
      <c r="B33" s="213" t="s">
        <v>212</v>
      </c>
      <c r="C33" s="243"/>
      <c r="D33" s="243"/>
      <c r="E33" s="254"/>
      <c r="F33" s="255">
        <v>15684</v>
      </c>
      <c r="G33" s="256"/>
      <c r="H33" s="257">
        <v>17127</v>
      </c>
      <c r="I33" s="183"/>
      <c r="J33" s="218">
        <f t="shared" si="2"/>
        <v>1.0920045906656466</v>
      </c>
    </row>
    <row r="34" spans="1:10" ht="12.75">
      <c r="A34" s="247"/>
      <c r="B34" s="213" t="s">
        <v>213</v>
      </c>
      <c r="C34" s="243"/>
      <c r="D34" s="243"/>
      <c r="E34" s="254"/>
      <c r="F34" s="255">
        <v>38</v>
      </c>
      <c r="G34" s="256"/>
      <c r="H34" s="257">
        <v>2675</v>
      </c>
      <c r="I34" s="183"/>
      <c r="J34" s="218">
        <f t="shared" si="2"/>
        <v>70.39473684210526</v>
      </c>
    </row>
    <row r="35" spans="1:10" ht="12.75">
      <c r="A35" s="247"/>
      <c r="B35" s="213" t="s">
        <v>214</v>
      </c>
      <c r="C35" s="243"/>
      <c r="D35" s="243"/>
      <c r="E35" s="254"/>
      <c r="F35" s="255">
        <v>30044</v>
      </c>
      <c r="G35" s="256"/>
      <c r="H35" s="257">
        <v>32522</v>
      </c>
      <c r="I35" s="183"/>
      <c r="J35" s="218">
        <f t="shared" si="2"/>
        <v>1.0824790307548928</v>
      </c>
    </row>
    <row r="36" spans="1:10" ht="13.5" thickBot="1">
      <c r="A36" s="247"/>
      <c r="B36" s="213" t="s">
        <v>215</v>
      </c>
      <c r="C36" s="243"/>
      <c r="D36" s="243"/>
      <c r="E36" s="254"/>
      <c r="F36" s="255">
        <v>16497</v>
      </c>
      <c r="G36" s="256"/>
      <c r="H36" s="257">
        <v>16824</v>
      </c>
      <c r="I36" s="183"/>
      <c r="J36" s="218">
        <f t="shared" si="2"/>
        <v>1.0198217857792327</v>
      </c>
    </row>
    <row r="37" spans="1:10" ht="13.5" thickBot="1">
      <c r="A37" s="231" t="s">
        <v>216</v>
      </c>
      <c r="B37" s="231"/>
      <c r="C37" s="246"/>
      <c r="D37" s="246"/>
      <c r="E37" s="251"/>
      <c r="F37" s="302">
        <f>+F32-F28</f>
        <v>10524</v>
      </c>
      <c r="G37" s="253"/>
      <c r="H37" s="303">
        <f>+H32-H28</f>
        <v>6898</v>
      </c>
      <c r="I37" s="242"/>
      <c r="J37" s="239">
        <f t="shared" si="2"/>
        <v>0.6554541999239832</v>
      </c>
    </row>
    <row r="38" spans="1:10" ht="12.75">
      <c r="A38" s="247" t="s">
        <v>217</v>
      </c>
      <c r="B38" s="183"/>
      <c r="C38" s="183"/>
      <c r="D38" s="183"/>
      <c r="E38" s="247"/>
      <c r="F38" s="214">
        <v>452</v>
      </c>
      <c r="G38" s="215"/>
      <c r="H38" s="216">
        <v>1394</v>
      </c>
      <c r="I38" s="183"/>
      <c r="J38" s="262">
        <f t="shared" si="2"/>
        <v>3.084070796460177</v>
      </c>
    </row>
    <row r="39" spans="1:10" ht="13.5" thickBot="1">
      <c r="A39" s="263" t="s">
        <v>218</v>
      </c>
      <c r="B39" s="264"/>
      <c r="C39" s="264"/>
      <c r="D39" s="264"/>
      <c r="E39" s="265"/>
      <c r="F39" s="266">
        <f>+F37-F38</f>
        <v>10072</v>
      </c>
      <c r="G39" s="263"/>
      <c r="H39" s="267">
        <f>+H37-H38</f>
        <v>5504</v>
      </c>
      <c r="I39" s="264"/>
      <c r="J39" s="268">
        <f t="shared" si="2"/>
        <v>0.5464654487688642</v>
      </c>
    </row>
    <row r="40" spans="1:10" ht="12.75">
      <c r="A40" s="243"/>
      <c r="B40" s="183"/>
      <c r="C40" s="183"/>
      <c r="D40" s="183"/>
      <c r="E40" s="183"/>
      <c r="F40" s="213"/>
      <c r="G40" s="243"/>
      <c r="H40" s="243"/>
      <c r="I40" s="183"/>
      <c r="J40" s="269"/>
    </row>
    <row r="41" spans="1:10" ht="15.75">
      <c r="A41" s="389" t="s">
        <v>228</v>
      </c>
      <c r="B41" s="389"/>
      <c r="C41" s="389"/>
      <c r="D41" s="389"/>
      <c r="E41" s="389"/>
      <c r="F41" s="389"/>
      <c r="G41" s="389"/>
      <c r="H41" s="389"/>
      <c r="I41" s="389"/>
      <c r="J41" s="389"/>
    </row>
    <row r="42" spans="1:10" ht="16.5" thickBo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</row>
    <row r="43" spans="1:10" ht="13.5" thickBot="1">
      <c r="A43" s="250" t="s">
        <v>206</v>
      </c>
      <c r="B43" s="234"/>
      <c r="C43" s="203"/>
      <c r="D43" s="203"/>
      <c r="E43" s="380" t="s">
        <v>185</v>
      </c>
      <c r="F43" s="381"/>
      <c r="G43" s="382" t="s">
        <v>226</v>
      </c>
      <c r="H43" s="383"/>
      <c r="I43" s="393" t="s">
        <v>186</v>
      </c>
      <c r="J43" s="391"/>
    </row>
    <row r="44" spans="1:10" ht="13.5" thickBot="1">
      <c r="A44" s="231" t="s">
        <v>207</v>
      </c>
      <c r="B44" s="246"/>
      <c r="C44" s="246"/>
      <c r="D44" s="246"/>
      <c r="E44" s="251"/>
      <c r="F44" s="252">
        <f>+F45+F51+F52</f>
        <v>3357</v>
      </c>
      <c r="G44" s="252"/>
      <c r="H44" s="207">
        <f>+H45+H51+H52</f>
        <v>4389</v>
      </c>
      <c r="I44" s="208"/>
      <c r="J44" s="239">
        <f>+H44/F44</f>
        <v>1.3074173369079536</v>
      </c>
    </row>
    <row r="45" spans="1:10" ht="12.75">
      <c r="A45" s="217" t="s">
        <v>188</v>
      </c>
      <c r="B45" s="213" t="s">
        <v>208</v>
      </c>
      <c r="C45" s="183"/>
      <c r="D45" s="183"/>
      <c r="E45" s="254"/>
      <c r="F45" s="255">
        <f>SUM(F46:F50)</f>
        <v>3346</v>
      </c>
      <c r="G45" s="256"/>
      <c r="H45" s="257">
        <f>SUM(H46:H50)</f>
        <v>4389</v>
      </c>
      <c r="I45" s="183"/>
      <c r="J45" s="218">
        <f aca="true" t="shared" si="3" ref="J45:J50">+H45/F45</f>
        <v>1.3117154811715481</v>
      </c>
    </row>
    <row r="46" spans="1:10" ht="12.75">
      <c r="A46" s="217"/>
      <c r="B46" s="240" t="s">
        <v>188</v>
      </c>
      <c r="C46" s="213" t="s">
        <v>269</v>
      </c>
      <c r="D46" s="183"/>
      <c r="E46" s="254"/>
      <c r="F46" s="255">
        <v>0</v>
      </c>
      <c r="G46" s="256"/>
      <c r="H46" s="255">
        <f>68+32</f>
        <v>100</v>
      </c>
      <c r="I46" s="183"/>
      <c r="J46" s="218"/>
    </row>
    <row r="47" spans="1:10" ht="12.75">
      <c r="A47" s="217"/>
      <c r="C47" s="213" t="s">
        <v>220</v>
      </c>
      <c r="D47" s="183"/>
      <c r="E47" s="254"/>
      <c r="F47" s="255">
        <v>2419</v>
      </c>
      <c r="G47" s="256"/>
      <c r="H47" s="255">
        <v>841</v>
      </c>
      <c r="I47" s="183"/>
      <c r="J47" s="218">
        <f t="shared" si="3"/>
        <v>0.3476643241008681</v>
      </c>
    </row>
    <row r="48" spans="1:10" ht="12.75">
      <c r="A48" s="217"/>
      <c r="B48" s="240"/>
      <c r="C48" s="213" t="s">
        <v>268</v>
      </c>
      <c r="D48" s="183"/>
      <c r="E48" s="254"/>
      <c r="F48" s="255">
        <v>735</v>
      </c>
      <c r="G48" s="256"/>
      <c r="H48" s="255">
        <v>1020</v>
      </c>
      <c r="I48" s="183"/>
      <c r="J48" s="218">
        <f t="shared" si="3"/>
        <v>1.3877551020408163</v>
      </c>
    </row>
    <row r="49" spans="1:10" ht="12.75">
      <c r="A49" s="217"/>
      <c r="B49" s="240"/>
      <c r="C49" s="213" t="s">
        <v>219</v>
      </c>
      <c r="D49" s="183"/>
      <c r="E49" s="254"/>
      <c r="F49" s="255">
        <v>0</v>
      </c>
      <c r="G49" s="256"/>
      <c r="H49" s="255">
        <v>2128</v>
      </c>
      <c r="I49" s="183"/>
      <c r="J49" s="218"/>
    </row>
    <row r="50" spans="1:10" ht="12.75">
      <c r="A50" s="217"/>
      <c r="B50" s="240"/>
      <c r="C50" s="213" t="s">
        <v>270</v>
      </c>
      <c r="D50" s="183"/>
      <c r="E50" s="254"/>
      <c r="F50" s="255">
        <v>192</v>
      </c>
      <c r="G50" s="256"/>
      <c r="H50" s="257">
        <f>6+290+4</f>
        <v>300</v>
      </c>
      <c r="I50" s="183"/>
      <c r="J50" s="218">
        <f t="shared" si="3"/>
        <v>1.5625</v>
      </c>
    </row>
    <row r="51" spans="1:10" ht="12.75">
      <c r="A51" s="217"/>
      <c r="B51" s="213" t="s">
        <v>209</v>
      </c>
      <c r="C51" s="183"/>
      <c r="D51" s="183"/>
      <c r="E51" s="254"/>
      <c r="F51" s="255">
        <v>11</v>
      </c>
      <c r="G51" s="256"/>
      <c r="H51" s="257">
        <v>0</v>
      </c>
      <c r="I51" s="183"/>
      <c r="J51" s="218">
        <f>+H51/F51</f>
        <v>0</v>
      </c>
    </row>
    <row r="52" spans="1:10" ht="13.5" thickBot="1">
      <c r="A52" s="221"/>
      <c r="B52" s="222" t="s">
        <v>210</v>
      </c>
      <c r="C52" s="223"/>
      <c r="D52" s="223"/>
      <c r="E52" s="258"/>
      <c r="F52" s="259">
        <v>0</v>
      </c>
      <c r="G52" s="260"/>
      <c r="H52" s="261">
        <v>0</v>
      </c>
      <c r="I52" s="223"/>
      <c r="J52" s="229"/>
    </row>
    <row r="53" spans="1:10" ht="13.5" thickBot="1">
      <c r="A53" s="231" t="s">
        <v>211</v>
      </c>
      <c r="B53" s="246"/>
      <c r="C53" s="246"/>
      <c r="D53" s="246"/>
      <c r="E53" s="251"/>
      <c r="F53" s="252">
        <f>SUM(F54:F57)</f>
        <v>4077</v>
      </c>
      <c r="G53" s="253"/>
      <c r="H53" s="207">
        <f>SUM(H54:H57)</f>
        <v>6127</v>
      </c>
      <c r="I53" s="183"/>
      <c r="J53" s="270">
        <f>+H53/F53</f>
        <v>1.5028207014961983</v>
      </c>
    </row>
    <row r="54" spans="1:10" ht="12.75">
      <c r="A54" s="247" t="s">
        <v>188</v>
      </c>
      <c r="B54" s="213" t="s">
        <v>212</v>
      </c>
      <c r="C54" s="243"/>
      <c r="D54" s="243"/>
      <c r="E54" s="254"/>
      <c r="F54" s="255">
        <v>3788</v>
      </c>
      <c r="G54" s="256"/>
      <c r="H54" s="257">
        <v>4869</v>
      </c>
      <c r="I54" s="203"/>
      <c r="J54" s="235">
        <f>+H54/F54</f>
        <v>1.2853748680042238</v>
      </c>
    </row>
    <row r="55" spans="1:10" ht="12.75">
      <c r="A55" s="247"/>
      <c r="B55" s="213" t="s">
        <v>213</v>
      </c>
      <c r="C55" s="243"/>
      <c r="D55" s="243"/>
      <c r="E55" s="254"/>
      <c r="F55" s="255">
        <v>2</v>
      </c>
      <c r="G55" s="256"/>
      <c r="H55" s="257">
        <v>8</v>
      </c>
      <c r="I55" s="183"/>
      <c r="J55" s="218">
        <f>+H55/F55</f>
        <v>4</v>
      </c>
    </row>
    <row r="56" spans="1:10" ht="12.75">
      <c r="A56" s="247"/>
      <c r="B56" s="213" t="s">
        <v>214</v>
      </c>
      <c r="C56" s="243"/>
      <c r="D56" s="243"/>
      <c r="E56" s="254"/>
      <c r="F56" s="255">
        <v>287</v>
      </c>
      <c r="G56" s="256"/>
      <c r="H56" s="257">
        <v>118</v>
      </c>
      <c r="I56" s="183"/>
      <c r="J56" s="218">
        <f>+H56/F56</f>
        <v>0.41114982578397213</v>
      </c>
    </row>
    <row r="57" spans="1:10" ht="13.5" thickBot="1">
      <c r="A57" s="221"/>
      <c r="B57" s="225" t="s">
        <v>271</v>
      </c>
      <c r="C57" s="244"/>
      <c r="D57" s="244"/>
      <c r="E57" s="258"/>
      <c r="F57" s="259">
        <v>0</v>
      </c>
      <c r="G57" s="260"/>
      <c r="H57" s="261">
        <v>1132</v>
      </c>
      <c r="I57" s="223"/>
      <c r="J57" s="229"/>
    </row>
    <row r="58" spans="1:10" ht="13.5" thickBot="1">
      <c r="A58" s="227" t="s">
        <v>216</v>
      </c>
      <c r="B58" s="227"/>
      <c r="C58" s="244"/>
      <c r="D58" s="244"/>
      <c r="E58" s="258"/>
      <c r="F58" s="304">
        <f>+F53-F44</f>
        <v>720</v>
      </c>
      <c r="G58" s="305"/>
      <c r="H58" s="306">
        <f>+H53-H44</f>
        <v>1738</v>
      </c>
      <c r="I58" s="271"/>
      <c r="J58" s="268">
        <f>+H58/F58</f>
        <v>2.4138888888888888</v>
      </c>
    </row>
    <row r="59" spans="1:10" ht="12.75">
      <c r="A59" s="240" t="s">
        <v>217</v>
      </c>
      <c r="E59" s="247"/>
      <c r="F59" s="214">
        <v>118</v>
      </c>
      <c r="G59" s="215"/>
      <c r="H59" s="216">
        <v>551</v>
      </c>
      <c r="I59" s="183"/>
      <c r="J59" s="262">
        <f>+H59/F59</f>
        <v>4.669491525423729</v>
      </c>
    </row>
    <row r="60" spans="1:10" ht="13.5" thickBot="1">
      <c r="A60" s="272" t="s">
        <v>218</v>
      </c>
      <c r="B60" s="273"/>
      <c r="C60" s="273"/>
      <c r="D60" s="273"/>
      <c r="E60" s="265"/>
      <c r="F60" s="266">
        <f>+F58-F59</f>
        <v>602</v>
      </c>
      <c r="G60" s="263"/>
      <c r="H60" s="267">
        <f>+H58-H59</f>
        <v>1187</v>
      </c>
      <c r="I60" s="273"/>
      <c r="J60" s="274">
        <f>+H60/F60</f>
        <v>1.9717607973421927</v>
      </c>
    </row>
    <row r="61" ht="12.75">
      <c r="A61" s="240"/>
    </row>
    <row r="62" spans="1:10" ht="15.75">
      <c r="A62" s="392" t="s">
        <v>229</v>
      </c>
      <c r="B62" s="392"/>
      <c r="C62" s="392"/>
      <c r="D62" s="392"/>
      <c r="E62" s="392"/>
      <c r="F62" s="392"/>
      <c r="G62" s="392"/>
      <c r="H62" s="392"/>
      <c r="I62" s="392"/>
      <c r="J62" s="392"/>
    </row>
    <row r="63" ht="13.5" thickBot="1"/>
    <row r="64" spans="1:10" ht="13.5" thickBot="1">
      <c r="A64" s="231" t="s">
        <v>206</v>
      </c>
      <c r="B64" s="246"/>
      <c r="C64" s="246"/>
      <c r="D64" s="246"/>
      <c r="E64" s="380" t="s">
        <v>185</v>
      </c>
      <c r="F64" s="381"/>
      <c r="G64" s="382" t="s">
        <v>226</v>
      </c>
      <c r="H64" s="383"/>
      <c r="I64" s="384" t="s">
        <v>186</v>
      </c>
      <c r="J64" s="385"/>
    </row>
    <row r="65" spans="1:10" ht="12.75">
      <c r="A65" s="275" t="s">
        <v>221</v>
      </c>
      <c r="B65" s="203"/>
      <c r="C65" s="203"/>
      <c r="D65" s="203"/>
      <c r="E65" s="276"/>
      <c r="F65" s="277">
        <v>93270</v>
      </c>
      <c r="G65" s="278"/>
      <c r="H65" s="279">
        <v>66571</v>
      </c>
      <c r="I65" s="234"/>
      <c r="J65" s="235">
        <f>+H65/F65</f>
        <v>0.7137450412780101</v>
      </c>
    </row>
    <row r="66" spans="1:10" ht="13.5" thickBot="1">
      <c r="A66" s="215" t="s">
        <v>222</v>
      </c>
      <c r="B66" s="183"/>
      <c r="C66" s="183"/>
      <c r="D66" s="183"/>
      <c r="E66" s="280"/>
      <c r="F66" s="281">
        <v>9301</v>
      </c>
      <c r="G66" s="282"/>
      <c r="H66" s="283">
        <v>7035</v>
      </c>
      <c r="I66" s="221"/>
      <c r="J66" s="229">
        <f>+H66/F66</f>
        <v>0.756370282765294</v>
      </c>
    </row>
    <row r="67" spans="1:10" ht="13.5" thickBot="1">
      <c r="A67" s="231" t="s">
        <v>223</v>
      </c>
      <c r="B67" s="238"/>
      <c r="C67" s="238"/>
      <c r="D67" s="238"/>
      <c r="E67" s="310"/>
      <c r="F67" s="307">
        <f>+F66/F65*100</f>
        <v>9.972123941245846</v>
      </c>
      <c r="G67" s="308"/>
      <c r="H67" s="309">
        <f>+H66/H65*100</f>
        <v>10.567664598699134</v>
      </c>
      <c r="I67" s="208"/>
      <c r="J67" s="239">
        <f>+H67/F67</f>
        <v>1.0597205430821075</v>
      </c>
    </row>
    <row r="68" spans="1:8" ht="12.75">
      <c r="A68" s="183"/>
      <c r="B68" s="183"/>
      <c r="C68" s="183"/>
      <c r="D68" s="183"/>
      <c r="E68" s="183"/>
      <c r="F68" s="183"/>
      <c r="G68" s="183"/>
      <c r="H68" s="284"/>
    </row>
    <row r="69" spans="1:8" ht="12.75">
      <c r="A69" s="183"/>
      <c r="B69" s="183"/>
      <c r="C69" s="183"/>
      <c r="D69" s="183"/>
      <c r="E69" s="183"/>
      <c r="F69" s="183"/>
      <c r="G69" s="183"/>
      <c r="H69" s="284"/>
    </row>
    <row r="70" spans="1:8" ht="12.75">
      <c r="A70" s="183"/>
      <c r="B70" s="183"/>
      <c r="C70" s="183"/>
      <c r="D70" s="183"/>
      <c r="E70" s="183"/>
      <c r="F70" s="183"/>
      <c r="G70" s="183"/>
      <c r="H70" s="284"/>
    </row>
  </sheetData>
  <sheetProtection/>
  <mergeCells count="19">
    <mergeCell ref="A1:J1"/>
    <mergeCell ref="I14:J14"/>
    <mergeCell ref="A62:J62"/>
    <mergeCell ref="E43:F43"/>
    <mergeCell ref="I43:J43"/>
    <mergeCell ref="E3:F3"/>
    <mergeCell ref="G3:H3"/>
    <mergeCell ref="I3:J3"/>
    <mergeCell ref="E14:F14"/>
    <mergeCell ref="A41:J41"/>
    <mergeCell ref="E64:F64"/>
    <mergeCell ref="G64:H64"/>
    <mergeCell ref="I64:J64"/>
    <mergeCell ref="G43:H43"/>
    <mergeCell ref="G14:H14"/>
    <mergeCell ref="E27:F27"/>
    <mergeCell ref="G27:H27"/>
    <mergeCell ref="I27:J27"/>
    <mergeCell ref="A25:J25"/>
  </mergeCells>
  <printOptions/>
  <pageMargins left="0.95" right="0.71" top="0.53" bottom="0.51" header="0.32" footer="0.29"/>
  <pageSetup horizontalDpi="600" verticalDpi="600" orientation="portrait" paperSize="9" scale="86" r:id="rId1"/>
  <headerFooter alignWithMargins="0">
    <oddHeader>&amp;CZávěrečný účet města Blovice za rok 2012</oddHeader>
    <oddFooter>&amp;Lvyvěšeno: 
sejmuto:&amp;Rsestavil: Ing.Hodek</oddFooter>
  </headerFooter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21" sqref="C21"/>
    </sheetView>
  </sheetViews>
  <sheetFormatPr defaultColWidth="8.8515625" defaultRowHeight="12.75"/>
  <cols>
    <col min="1" max="1" width="4.28125" style="174" customWidth="1"/>
    <col min="2" max="2" width="17.00390625" style="174" customWidth="1"/>
    <col min="3" max="11" width="8.8515625" style="174" customWidth="1"/>
    <col min="12" max="12" width="1.7109375" style="174" customWidth="1"/>
    <col min="13" max="20" width="8.8515625" style="174" customWidth="1"/>
    <col min="21" max="21" width="6.28125" style="174" customWidth="1"/>
    <col min="22" max="16384" width="8.8515625" style="174" customWidth="1"/>
  </cols>
  <sheetData>
    <row r="1" spans="1:3" ht="15" customHeight="1" thickBot="1">
      <c r="A1" s="396" t="s">
        <v>164</v>
      </c>
      <c r="B1" s="397"/>
      <c r="C1" s="173" t="s">
        <v>122</v>
      </c>
    </row>
    <row r="2" spans="1:3" ht="15" customHeight="1">
      <c r="A2" s="175" t="s">
        <v>6</v>
      </c>
      <c r="B2" s="176" t="s">
        <v>165</v>
      </c>
      <c r="C2" s="177">
        <f>Příjmy_Výdaje!N15</f>
        <v>17238.879999999997</v>
      </c>
    </row>
    <row r="3" spans="1:3" ht="15" customHeight="1">
      <c r="A3" s="178" t="s">
        <v>16</v>
      </c>
      <c r="B3" s="176" t="s">
        <v>166</v>
      </c>
      <c r="C3" s="177">
        <f>Příjmy_Výdaje!N19</f>
        <v>31104</v>
      </c>
    </row>
    <row r="4" spans="1:3" ht="15" customHeight="1">
      <c r="A4" s="178" t="s">
        <v>22</v>
      </c>
      <c r="B4" s="176" t="s">
        <v>167</v>
      </c>
      <c r="C4" s="177">
        <f>Příjmy_Výdaje!N31</f>
        <v>6092</v>
      </c>
    </row>
    <row r="5" spans="1:3" ht="15" customHeight="1">
      <c r="A5" s="178" t="s">
        <v>38</v>
      </c>
      <c r="B5" s="176" t="s">
        <v>168</v>
      </c>
      <c r="C5" s="177">
        <f>Příjmy_Výdaje!N37</f>
        <v>4245</v>
      </c>
    </row>
    <row r="6" spans="1:3" ht="15" customHeight="1">
      <c r="A6" s="178" t="s">
        <v>45</v>
      </c>
      <c r="B6" s="176" t="s">
        <v>169</v>
      </c>
      <c r="C6" s="177">
        <f>Příjmy_Výdaje!N42</f>
        <v>1398</v>
      </c>
    </row>
    <row r="7" spans="1:3" ht="15" customHeight="1">
      <c r="A7" s="178" t="s">
        <v>51</v>
      </c>
      <c r="B7" s="176" t="s">
        <v>170</v>
      </c>
      <c r="C7" s="177">
        <f>Příjmy_Výdaje!N43</f>
        <v>2868</v>
      </c>
    </row>
    <row r="8" spans="1:3" ht="15" customHeight="1">
      <c r="A8" s="178" t="s">
        <v>53</v>
      </c>
      <c r="B8" s="176" t="s">
        <v>171</v>
      </c>
      <c r="C8" s="177">
        <f>Příjmy_Výdaje!N44</f>
        <v>402</v>
      </c>
    </row>
    <row r="9" spans="1:3" ht="15" customHeight="1">
      <c r="A9" s="178" t="s">
        <v>55</v>
      </c>
      <c r="B9" s="176" t="s">
        <v>172</v>
      </c>
      <c r="C9" s="177">
        <f>Příjmy_Výdaje!N50</f>
        <v>3223</v>
      </c>
    </row>
    <row r="10" spans="1:3" ht="15" customHeight="1" thickBot="1">
      <c r="A10" s="178" t="s">
        <v>61</v>
      </c>
      <c r="B10" s="176" t="s">
        <v>173</v>
      </c>
      <c r="C10" s="177">
        <v>0</v>
      </c>
    </row>
    <row r="11" spans="1:3" ht="15" customHeight="1" thickBot="1">
      <c r="A11" s="179"/>
      <c r="B11" s="180" t="s">
        <v>174</v>
      </c>
      <c r="C11" s="181">
        <f>SUM(C2:C10)</f>
        <v>66570.88</v>
      </c>
    </row>
    <row r="12" spans="1:2" ht="15" customHeight="1">
      <c r="A12" s="182"/>
      <c r="B12" s="182"/>
    </row>
    <row r="13" spans="1:3" ht="15" customHeight="1">
      <c r="A13" s="183"/>
      <c r="B13" s="183"/>
      <c r="C13" s="184"/>
    </row>
    <row r="14" ht="15" customHeight="1"/>
    <row r="15" ht="15" customHeight="1"/>
    <row r="16" ht="15" customHeight="1"/>
    <row r="17" ht="15" customHeight="1"/>
    <row r="18" ht="15" customHeight="1" thickBot="1"/>
    <row r="19" spans="1:3" ht="15" customHeight="1" thickBot="1">
      <c r="A19" s="398" t="s">
        <v>175</v>
      </c>
      <c r="B19" s="399"/>
      <c r="C19" s="173" t="s">
        <v>122</v>
      </c>
    </row>
    <row r="20" spans="1:3" ht="15" customHeight="1">
      <c r="A20" s="175" t="s">
        <v>6</v>
      </c>
      <c r="B20" s="185" t="s">
        <v>176</v>
      </c>
      <c r="C20" s="177">
        <f>Příjmy_Výdaje!N65</f>
        <v>6263</v>
      </c>
    </row>
    <row r="21" spans="1:3" ht="15" customHeight="1">
      <c r="A21" s="178" t="s">
        <v>16</v>
      </c>
      <c r="B21" s="176" t="s">
        <v>177</v>
      </c>
      <c r="C21" s="177">
        <f>Příjmy_Výdaje!N68-588</f>
        <v>24393</v>
      </c>
    </row>
    <row r="22" spans="1:3" ht="15" customHeight="1">
      <c r="A22" s="178" t="s">
        <v>22</v>
      </c>
      <c r="B22" s="176" t="s">
        <v>178</v>
      </c>
      <c r="C22" s="177">
        <f>Příjmy_Výdaje!N74</f>
        <v>3017</v>
      </c>
    </row>
    <row r="23" spans="1:3" ht="15" customHeight="1">
      <c r="A23" s="178" t="s">
        <v>38</v>
      </c>
      <c r="B23" s="176" t="s">
        <v>179</v>
      </c>
      <c r="C23" s="177">
        <f>Příjmy_Výdaje!N93</f>
        <v>44652</v>
      </c>
    </row>
    <row r="24" spans="1:3" ht="15" customHeight="1">
      <c r="A24" s="178" t="s">
        <v>45</v>
      </c>
      <c r="B24" s="186" t="s">
        <v>180</v>
      </c>
      <c r="C24" s="177">
        <f>Příjmy_Výdaje!N105</f>
        <v>11996</v>
      </c>
    </row>
    <row r="25" spans="1:3" ht="15" customHeight="1">
      <c r="A25" s="178" t="s">
        <v>51</v>
      </c>
      <c r="B25" s="176" t="s">
        <v>181</v>
      </c>
      <c r="C25" s="177">
        <f>Příjmy_Výdaje!N118</f>
        <v>-6120</v>
      </c>
    </row>
    <row r="26" spans="1:3" ht="15" customHeight="1">
      <c r="A26" s="178" t="s">
        <v>53</v>
      </c>
      <c r="B26" s="176" t="s">
        <v>182</v>
      </c>
      <c r="C26" s="177">
        <f>Příjmy_Výdaje!N119</f>
        <v>845</v>
      </c>
    </row>
    <row r="27" spans="1:3" ht="15" customHeight="1">
      <c r="A27" s="178" t="s">
        <v>55</v>
      </c>
      <c r="B27" s="176" t="s">
        <v>170</v>
      </c>
      <c r="C27" s="177">
        <f>Příjmy_Výdaje!N120</f>
        <v>2143</v>
      </c>
    </row>
    <row r="28" spans="1:3" ht="15" customHeight="1" thickBot="1">
      <c r="A28" s="187" t="s">
        <v>61</v>
      </c>
      <c r="B28" s="188" t="s">
        <v>173</v>
      </c>
      <c r="C28" s="177">
        <v>536</v>
      </c>
    </row>
    <row r="29" spans="1:3" ht="15" customHeight="1" thickBot="1">
      <c r="A29" s="179"/>
      <c r="B29" s="180" t="s">
        <v>174</v>
      </c>
      <c r="C29" s="189">
        <f>SUM(C20:C28)</f>
        <v>87725</v>
      </c>
    </row>
    <row r="30" ht="15" customHeight="1"/>
    <row r="31" ht="15" customHeight="1"/>
    <row r="32" ht="15" customHeight="1"/>
    <row r="33" ht="15" customHeight="1"/>
    <row r="34" ht="15" customHeight="1" thickBot="1"/>
    <row r="35" spans="1:3" ht="15" customHeight="1" thickBot="1">
      <c r="A35" s="190" t="s">
        <v>183</v>
      </c>
      <c r="B35" s="191"/>
      <c r="C35" s="192">
        <f>+C11-C29</f>
        <v>-21154.119999999995</v>
      </c>
    </row>
    <row r="36" ht="15" customHeight="1"/>
    <row r="37" ht="13.5" customHeight="1"/>
    <row r="38" spans="7:11" ht="12.75" customHeight="1">
      <c r="G38" s="193"/>
      <c r="H38" s="193"/>
      <c r="I38" s="194"/>
      <c r="J38" s="193"/>
      <c r="K38" s="193"/>
    </row>
  </sheetData>
  <sheetProtection/>
  <mergeCells count="2">
    <mergeCell ref="A1:B1"/>
    <mergeCell ref="A19:B19"/>
  </mergeCells>
  <printOptions/>
  <pageMargins left="0.37" right="0.37" top="1.07" bottom="0.49" header="0.37" footer="0.25"/>
  <pageSetup horizontalDpi="600" verticalDpi="600" orientation="landscape" paperSize="9" scale="80" r:id="rId2"/>
  <headerFooter alignWithMargins="0">
    <oddHeader>&amp;C&amp;9Závěrečný účet města Blovice za rok 2012&amp;"Arial Black,Obyčejné"&amp;10 &amp;14 
Graf příjmů a výdajů města Blovice za r.2012</oddHeader>
    <oddFooter>&amp;Lvyvěšeno: 
sejmuto:&amp;Rsestavil Ing.Michal Hodek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140625" style="0" bestFit="1" customWidth="1"/>
    <col min="2" max="2" width="6.00390625" style="0" bestFit="1" customWidth="1"/>
    <col min="3" max="3" width="38.140625" style="0" customWidth="1"/>
    <col min="4" max="4" width="19.140625" style="0" bestFit="1" customWidth="1"/>
    <col min="5" max="5" width="18.28125" style="0" bestFit="1" customWidth="1"/>
    <col min="6" max="6" width="11.140625" style="0" bestFit="1" customWidth="1"/>
  </cols>
  <sheetData>
    <row r="1" spans="1:6" ht="28.5" customHeight="1">
      <c r="A1" s="285" t="s">
        <v>230</v>
      </c>
      <c r="B1" s="285" t="s">
        <v>231</v>
      </c>
      <c r="C1" s="285" t="s">
        <v>232</v>
      </c>
      <c r="D1" s="285" t="s">
        <v>255</v>
      </c>
      <c r="E1" s="285" t="s">
        <v>256</v>
      </c>
      <c r="F1" s="285" t="s">
        <v>233</v>
      </c>
    </row>
    <row r="2" spans="1:6" ht="15" customHeight="1">
      <c r="A2" s="286" t="s">
        <v>234</v>
      </c>
      <c r="B2" s="285"/>
      <c r="C2" s="286" t="s">
        <v>235</v>
      </c>
      <c r="D2" s="287">
        <v>11295880</v>
      </c>
      <c r="E2" s="287">
        <v>11295880</v>
      </c>
      <c r="F2" s="287">
        <f aca="true" t="shared" si="0" ref="F2:F28">+D2-E2</f>
        <v>0</v>
      </c>
    </row>
    <row r="3" spans="1:6" ht="15" customHeight="1">
      <c r="A3" s="288" t="s">
        <v>236</v>
      </c>
      <c r="B3" s="289">
        <v>13101</v>
      </c>
      <c r="C3" s="290" t="s">
        <v>237</v>
      </c>
      <c r="D3" s="287">
        <v>126000</v>
      </c>
      <c r="E3" s="287">
        <v>126000</v>
      </c>
      <c r="F3" s="287">
        <f t="shared" si="0"/>
        <v>0</v>
      </c>
    </row>
    <row r="4" spans="1:6" ht="15" customHeight="1">
      <c r="A4" s="291" t="s">
        <v>238</v>
      </c>
      <c r="B4" s="289">
        <v>13234</v>
      </c>
      <c r="C4" s="291" t="s">
        <v>237</v>
      </c>
      <c r="D4" s="287">
        <v>305168</v>
      </c>
      <c r="E4" s="287">
        <v>305168</v>
      </c>
      <c r="F4" s="287">
        <f t="shared" si="0"/>
        <v>0</v>
      </c>
    </row>
    <row r="5" spans="1:7" ht="15" customHeight="1">
      <c r="A5" s="291" t="s">
        <v>240</v>
      </c>
      <c r="B5" s="293">
        <v>14012</v>
      </c>
      <c r="C5" s="292" t="s">
        <v>241</v>
      </c>
      <c r="D5" s="294">
        <v>228083.9</v>
      </c>
      <c r="E5" s="294">
        <v>228083.9</v>
      </c>
      <c r="F5" s="287">
        <f t="shared" si="0"/>
        <v>0</v>
      </c>
      <c r="G5" s="57"/>
    </row>
    <row r="6" spans="1:7" ht="15" customHeight="1">
      <c r="A6" s="291" t="s">
        <v>242</v>
      </c>
      <c r="B6" s="295"/>
      <c r="C6" s="296" t="s">
        <v>243</v>
      </c>
      <c r="D6" s="297">
        <v>322292</v>
      </c>
      <c r="E6" s="297">
        <v>322292</v>
      </c>
      <c r="F6" s="287">
        <f t="shared" si="0"/>
        <v>0</v>
      </c>
      <c r="G6" s="57"/>
    </row>
    <row r="7" spans="1:7" ht="15" customHeight="1">
      <c r="A7" s="291" t="s">
        <v>242</v>
      </c>
      <c r="B7" s="295"/>
      <c r="C7" s="296" t="s">
        <v>244</v>
      </c>
      <c r="D7" s="297">
        <v>6000</v>
      </c>
      <c r="E7" s="297">
        <v>6000</v>
      </c>
      <c r="F7" s="287">
        <f t="shared" si="0"/>
        <v>0</v>
      </c>
      <c r="G7" s="57"/>
    </row>
    <row r="8" spans="1:7" ht="15" customHeight="1">
      <c r="A8" s="291" t="s">
        <v>242</v>
      </c>
      <c r="B8" s="295"/>
      <c r="C8" s="296" t="s">
        <v>272</v>
      </c>
      <c r="D8" s="297">
        <v>19000</v>
      </c>
      <c r="E8" s="297">
        <v>19000</v>
      </c>
      <c r="F8" s="287">
        <f t="shared" si="0"/>
        <v>0</v>
      </c>
      <c r="G8" s="57"/>
    </row>
    <row r="9" spans="1:7" ht="15" customHeight="1">
      <c r="A9" s="291" t="s">
        <v>242</v>
      </c>
      <c r="B9" s="295"/>
      <c r="C9" s="296" t="s">
        <v>258</v>
      </c>
      <c r="D9" s="297">
        <v>30000</v>
      </c>
      <c r="E9" s="297">
        <v>30000</v>
      </c>
      <c r="F9" s="287">
        <f t="shared" si="0"/>
        <v>0</v>
      </c>
      <c r="G9" s="57"/>
    </row>
    <row r="10" spans="1:7" ht="15" customHeight="1">
      <c r="A10" s="291" t="s">
        <v>242</v>
      </c>
      <c r="B10" s="295"/>
      <c r="C10" s="296" t="s">
        <v>311</v>
      </c>
      <c r="D10" s="297">
        <v>200000</v>
      </c>
      <c r="E10" s="297">
        <v>200000</v>
      </c>
      <c r="F10" s="287">
        <f t="shared" si="0"/>
        <v>0</v>
      </c>
      <c r="G10" s="57"/>
    </row>
    <row r="11" spans="1:7" ht="15" customHeight="1">
      <c r="A11" s="291" t="s">
        <v>242</v>
      </c>
      <c r="B11" s="295"/>
      <c r="C11" s="296" t="s">
        <v>259</v>
      </c>
      <c r="D11" s="297">
        <v>439665</v>
      </c>
      <c r="E11" s="297">
        <v>439665</v>
      </c>
      <c r="F11" s="287">
        <f t="shared" si="0"/>
        <v>0</v>
      </c>
      <c r="G11" s="57"/>
    </row>
    <row r="12" spans="1:7" ht="15" customHeight="1">
      <c r="A12" s="291" t="s">
        <v>242</v>
      </c>
      <c r="B12" s="295"/>
      <c r="C12" s="296" t="s">
        <v>260</v>
      </c>
      <c r="D12" s="297">
        <v>62409</v>
      </c>
      <c r="E12" s="297">
        <f>62409-24012.2</f>
        <v>38396.8</v>
      </c>
      <c r="F12" s="287">
        <f t="shared" si="0"/>
        <v>24012.199999999997</v>
      </c>
      <c r="G12" s="57" t="s">
        <v>278</v>
      </c>
    </row>
    <row r="13" spans="1:7" ht="15" customHeight="1">
      <c r="A13" s="291" t="s">
        <v>242</v>
      </c>
      <c r="B13" s="295"/>
      <c r="C13" s="296" t="s">
        <v>262</v>
      </c>
      <c r="D13" s="297">
        <v>59220</v>
      </c>
      <c r="E13" s="297">
        <v>59220</v>
      </c>
      <c r="F13" s="287">
        <f t="shared" si="0"/>
        <v>0</v>
      </c>
      <c r="G13" s="57"/>
    </row>
    <row r="14" spans="1:7" ht="15" customHeight="1">
      <c r="A14" s="291" t="s">
        <v>275</v>
      </c>
      <c r="B14" s="295">
        <v>27013</v>
      </c>
      <c r="C14" s="296" t="s">
        <v>276</v>
      </c>
      <c r="D14" s="297">
        <v>29358</v>
      </c>
      <c r="E14" s="297">
        <v>29358</v>
      </c>
      <c r="F14" s="287">
        <f t="shared" si="0"/>
        <v>0</v>
      </c>
      <c r="G14" s="57"/>
    </row>
    <row r="15" spans="1:7" ht="15" customHeight="1">
      <c r="A15" s="291" t="s">
        <v>242</v>
      </c>
      <c r="B15" s="293">
        <v>29004</v>
      </c>
      <c r="C15" s="292" t="s">
        <v>245</v>
      </c>
      <c r="D15" s="311">
        <v>89100</v>
      </c>
      <c r="E15" s="311">
        <v>89100</v>
      </c>
      <c r="F15" s="287">
        <f t="shared" si="0"/>
        <v>0</v>
      </c>
      <c r="G15" s="57"/>
    </row>
    <row r="16" spans="1:7" ht="15" customHeight="1">
      <c r="A16" s="291" t="s">
        <v>242</v>
      </c>
      <c r="B16" s="293">
        <v>29008</v>
      </c>
      <c r="C16" s="292" t="s">
        <v>246</v>
      </c>
      <c r="D16" s="311">
        <v>283526</v>
      </c>
      <c r="E16" s="311">
        <v>283526</v>
      </c>
      <c r="F16" s="287">
        <f t="shared" si="0"/>
        <v>0</v>
      </c>
      <c r="G16" s="57"/>
    </row>
    <row r="17" spans="1:7" ht="15" customHeight="1">
      <c r="A17" s="291" t="s">
        <v>273</v>
      </c>
      <c r="B17" s="293">
        <v>29017</v>
      </c>
      <c r="C17" s="292" t="s">
        <v>274</v>
      </c>
      <c r="D17" s="311">
        <v>86787</v>
      </c>
      <c r="E17" s="311">
        <v>86787</v>
      </c>
      <c r="F17" s="287">
        <f t="shared" si="0"/>
        <v>0</v>
      </c>
      <c r="G17" s="57"/>
    </row>
    <row r="18" spans="1:7" ht="15" customHeight="1">
      <c r="A18" s="291" t="s">
        <v>242</v>
      </c>
      <c r="B18" s="293">
        <v>29516</v>
      </c>
      <c r="C18" s="292" t="s">
        <v>261</v>
      </c>
      <c r="D18" s="294">
        <v>347184</v>
      </c>
      <c r="E18" s="294">
        <v>304916</v>
      </c>
      <c r="F18" s="287">
        <f t="shared" si="0"/>
        <v>42268</v>
      </c>
      <c r="G18" s="57" t="s">
        <v>277</v>
      </c>
    </row>
    <row r="19" spans="1:7" ht="15" customHeight="1">
      <c r="A19" s="291" t="s">
        <v>247</v>
      </c>
      <c r="B19" s="293">
        <v>33123</v>
      </c>
      <c r="C19" s="292" t="s">
        <v>248</v>
      </c>
      <c r="D19" s="294">
        <v>925243.6</v>
      </c>
      <c r="E19" s="294">
        <v>925243.6</v>
      </c>
      <c r="F19" s="287">
        <f t="shared" si="0"/>
        <v>0</v>
      </c>
      <c r="G19" s="57"/>
    </row>
    <row r="20" spans="1:7" ht="15" customHeight="1">
      <c r="A20" s="291" t="s">
        <v>267</v>
      </c>
      <c r="B20" s="312">
        <v>98007</v>
      </c>
      <c r="C20" s="313" t="s">
        <v>263</v>
      </c>
      <c r="D20" s="311">
        <v>70000</v>
      </c>
      <c r="E20" s="311">
        <v>70000</v>
      </c>
      <c r="F20" s="287">
        <f t="shared" si="0"/>
        <v>0</v>
      </c>
      <c r="G20" s="57"/>
    </row>
    <row r="21" spans="1:7" ht="15" customHeight="1">
      <c r="A21" s="291" t="s">
        <v>267</v>
      </c>
      <c r="B21" s="312">
        <v>98008</v>
      </c>
      <c r="C21" s="313" t="s">
        <v>264</v>
      </c>
      <c r="D21" s="311">
        <v>20000</v>
      </c>
      <c r="E21" s="311">
        <v>4473</v>
      </c>
      <c r="F21" s="287">
        <f t="shared" si="0"/>
        <v>15527</v>
      </c>
      <c r="G21" s="57" t="s">
        <v>278</v>
      </c>
    </row>
    <row r="22" spans="1:7" ht="15" customHeight="1">
      <c r="A22" s="291" t="s">
        <v>267</v>
      </c>
      <c r="B22" s="312">
        <v>98074</v>
      </c>
      <c r="C22" s="290" t="s">
        <v>265</v>
      </c>
      <c r="D22" s="311">
        <v>10000</v>
      </c>
      <c r="E22" s="311">
        <v>8985</v>
      </c>
      <c r="F22" s="287">
        <f t="shared" si="0"/>
        <v>1015</v>
      </c>
      <c r="G22" s="57" t="s">
        <v>278</v>
      </c>
    </row>
    <row r="23" spans="1:7" ht="15" customHeight="1">
      <c r="A23" s="291" t="s">
        <v>267</v>
      </c>
      <c r="B23" s="312">
        <v>98193</v>
      </c>
      <c r="C23" s="290" t="s">
        <v>266</v>
      </c>
      <c r="D23" s="311">
        <v>212000</v>
      </c>
      <c r="E23" s="311">
        <v>112371</v>
      </c>
      <c r="F23" s="287">
        <f t="shared" si="0"/>
        <v>99629</v>
      </c>
      <c r="G23" s="57" t="s">
        <v>278</v>
      </c>
    </row>
    <row r="24" spans="1:7" ht="15" customHeight="1">
      <c r="A24" s="291" t="s">
        <v>239</v>
      </c>
      <c r="B24" s="295">
        <v>98216</v>
      </c>
      <c r="C24" s="290" t="s">
        <v>249</v>
      </c>
      <c r="D24" s="294">
        <v>803842</v>
      </c>
      <c r="E24" s="294">
        <v>803842</v>
      </c>
      <c r="F24" s="287">
        <f t="shared" si="0"/>
        <v>0</v>
      </c>
      <c r="G24" s="57"/>
    </row>
    <row r="25" spans="1:6" ht="15" customHeight="1">
      <c r="A25" s="288" t="s">
        <v>250</v>
      </c>
      <c r="B25" s="289">
        <v>34002</v>
      </c>
      <c r="C25" s="290" t="s">
        <v>251</v>
      </c>
      <c r="D25" s="287">
        <v>100000</v>
      </c>
      <c r="E25" s="287">
        <v>100000</v>
      </c>
      <c r="F25" s="287">
        <f t="shared" si="0"/>
        <v>0</v>
      </c>
    </row>
    <row r="26" spans="1:6" ht="15" customHeight="1">
      <c r="A26" s="288" t="s">
        <v>252</v>
      </c>
      <c r="B26" s="289"/>
      <c r="C26" s="290" t="s">
        <v>310</v>
      </c>
      <c r="D26" s="287">
        <v>807484</v>
      </c>
      <c r="E26" s="287">
        <v>807484</v>
      </c>
      <c r="F26" s="287">
        <f t="shared" si="0"/>
        <v>0</v>
      </c>
    </row>
    <row r="27" spans="1:6" ht="15" customHeight="1">
      <c r="A27" s="288" t="s">
        <v>253</v>
      </c>
      <c r="B27" s="289">
        <v>89517</v>
      </c>
      <c r="C27" s="290" t="s">
        <v>257</v>
      </c>
      <c r="D27" s="287">
        <v>80759</v>
      </c>
      <c r="E27" s="287">
        <v>80759</v>
      </c>
      <c r="F27" s="287">
        <f t="shared" si="0"/>
        <v>0</v>
      </c>
    </row>
    <row r="28" spans="1:6" ht="15" customHeight="1">
      <c r="A28" s="288" t="s">
        <v>253</v>
      </c>
      <c r="B28" s="289">
        <v>89518</v>
      </c>
      <c r="C28" s="290" t="s">
        <v>257</v>
      </c>
      <c r="D28" s="287">
        <v>323035</v>
      </c>
      <c r="E28" s="287">
        <v>323035</v>
      </c>
      <c r="F28" s="287">
        <f t="shared" si="0"/>
        <v>0</v>
      </c>
    </row>
    <row r="29" spans="1:6" ht="15" customHeight="1">
      <c r="A29" s="298" t="s">
        <v>5</v>
      </c>
      <c r="B29" s="298"/>
      <c r="C29" s="298"/>
      <c r="D29" s="299">
        <f>SUM(D2:D28)</f>
        <v>17282036.5</v>
      </c>
      <c r="E29" s="299">
        <f>SUM(E2:E28)</f>
        <v>17099585.3</v>
      </c>
      <c r="F29" s="299">
        <f>SUM(F2:F28)</f>
        <v>182451.2</v>
      </c>
    </row>
    <row r="30" ht="12.75">
      <c r="F30" t="s">
        <v>254</v>
      </c>
    </row>
  </sheetData>
  <sheetProtection/>
  <printOptions/>
  <pageMargins left="1.04" right="0.787401575" top="0.86" bottom="0.6" header="0.38" footer="0.4921259845"/>
  <pageSetup horizontalDpi="600" verticalDpi="600" orientation="landscape" paperSize="9" r:id="rId1"/>
  <headerFooter alignWithMargins="0">
    <oddHeader>&amp;C&amp;"Arial Black,Obyčejné"&amp;8Závěrečný účet města Blovice za rok 2012&amp;10
&amp;11Vypořádání finančních vztahů k jiným rozpočtům</oddHeader>
    <oddFooter>&amp;Lvyvěšeno: 
sejmuto:&amp;Rsestavil: Ing.Hodek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315" customWidth="1"/>
    <col min="2" max="2" width="17.57421875" style="315" customWidth="1"/>
    <col min="3" max="3" width="18.00390625" style="315" bestFit="1" customWidth="1"/>
    <col min="4" max="4" width="17.7109375" style="315" customWidth="1"/>
    <col min="5" max="6" width="18.00390625" style="315" customWidth="1"/>
    <col min="7" max="7" width="11.140625" style="315" customWidth="1"/>
    <col min="8" max="16384" width="9.140625" style="315" customWidth="1"/>
  </cols>
  <sheetData>
    <row r="1" spans="1:3" ht="18.75" customHeight="1">
      <c r="A1" s="314" t="s">
        <v>279</v>
      </c>
      <c r="B1" s="314"/>
      <c r="C1" s="314"/>
    </row>
    <row r="2" spans="1:3" ht="15" customHeight="1">
      <c r="A2" s="316"/>
      <c r="B2" s="316"/>
      <c r="C2" s="316"/>
    </row>
    <row r="3" spans="1:7" ht="15" customHeight="1" thickBot="1">
      <c r="A3" s="317"/>
      <c r="B3" s="318" t="s">
        <v>280</v>
      </c>
      <c r="C3" s="318" t="s">
        <v>281</v>
      </c>
      <c r="D3" s="318" t="s">
        <v>282</v>
      </c>
      <c r="E3" s="318" t="s">
        <v>283</v>
      </c>
      <c r="F3" s="318" t="s">
        <v>161</v>
      </c>
      <c r="G3" s="318" t="s">
        <v>284</v>
      </c>
    </row>
    <row r="4" spans="1:7" ht="17.25" customHeight="1" thickBot="1">
      <c r="A4" s="319" t="s">
        <v>285</v>
      </c>
      <c r="B4" s="320">
        <v>198494.08</v>
      </c>
      <c r="C4" s="320">
        <v>198494.08</v>
      </c>
      <c r="D4" s="320">
        <v>198494.08</v>
      </c>
      <c r="E4" s="320">
        <v>198494.08</v>
      </c>
      <c r="F4" s="320">
        <v>198494.08</v>
      </c>
      <c r="G4" s="321">
        <f>+F4/C4</f>
        <v>1</v>
      </c>
    </row>
    <row r="5" spans="1:7" ht="15" customHeight="1" thickBot="1">
      <c r="A5" s="317"/>
      <c r="G5" s="321"/>
    </row>
    <row r="6" spans="1:7" ht="15" customHeight="1" thickBot="1">
      <c r="A6" s="322" t="s">
        <v>286</v>
      </c>
      <c r="B6" s="323"/>
      <c r="C6" s="323"/>
      <c r="D6" s="323"/>
      <c r="E6" s="323"/>
      <c r="F6" s="323"/>
      <c r="G6" s="321"/>
    </row>
    <row r="7" spans="1:7" ht="15" customHeight="1" thickBot="1">
      <c r="A7" s="324" t="s">
        <v>287</v>
      </c>
      <c r="B7" s="325">
        <v>610000</v>
      </c>
      <c r="C7" s="325">
        <v>588000</v>
      </c>
      <c r="D7" s="326">
        <v>280120.25</v>
      </c>
      <c r="E7" s="326">
        <v>424160.27</v>
      </c>
      <c r="F7" s="326">
        <v>587855.73</v>
      </c>
      <c r="G7" s="321">
        <f>+F7/C7</f>
        <v>0.9997546428571428</v>
      </c>
    </row>
    <row r="8" spans="1:7" ht="15" customHeight="1" thickBot="1">
      <c r="A8" s="327" t="s">
        <v>288</v>
      </c>
      <c r="B8" s="328">
        <f>SUM(B7:B7)</f>
        <v>610000</v>
      </c>
      <c r="C8" s="328">
        <f>SUM(C7:C7)</f>
        <v>588000</v>
      </c>
      <c r="D8" s="329">
        <f>SUM(D7:D7)</f>
        <v>280120.25</v>
      </c>
      <c r="E8" s="329">
        <f>SUM(E7:E7)</f>
        <v>424160.27</v>
      </c>
      <c r="F8" s="329">
        <f>SUM(F7:F7)</f>
        <v>587855.73</v>
      </c>
      <c r="G8" s="321">
        <f>+F8/C8</f>
        <v>0.9997546428571428</v>
      </c>
    </row>
    <row r="9" spans="1:7" ht="15" customHeight="1">
      <c r="A9" s="330"/>
      <c r="B9" s="331"/>
      <c r="C9" s="331"/>
      <c r="D9" s="332"/>
      <c r="E9" s="332"/>
      <c r="F9" s="332"/>
      <c r="G9" s="321"/>
    </row>
    <row r="10" spans="4:7" ht="15" customHeight="1" thickBot="1">
      <c r="D10" s="333"/>
      <c r="E10" s="333"/>
      <c r="F10" s="333"/>
      <c r="G10" s="321"/>
    </row>
    <row r="11" spans="1:7" ht="15" customHeight="1" thickBot="1">
      <c r="A11" s="334" t="s">
        <v>289</v>
      </c>
      <c r="B11" s="323"/>
      <c r="C11" s="323"/>
      <c r="D11" s="335"/>
      <c r="E11" s="335"/>
      <c r="F11" s="335"/>
      <c r="G11" s="321"/>
    </row>
    <row r="12" spans="1:7" ht="15" customHeight="1">
      <c r="A12" s="336" t="s">
        <v>290</v>
      </c>
      <c r="B12" s="337">
        <v>280000</v>
      </c>
      <c r="C12" s="337">
        <v>283000</v>
      </c>
      <c r="D12" s="338">
        <v>131281.5</v>
      </c>
      <c r="E12" s="338">
        <v>191596.2</v>
      </c>
      <c r="F12" s="338">
        <f>256701.2</f>
        <v>256701.2</v>
      </c>
      <c r="G12" s="321">
        <f aca="true" t="shared" si="0" ref="G12:G17">+F12/C12</f>
        <v>0.9070713780918729</v>
      </c>
    </row>
    <row r="13" spans="1:7" ht="15" customHeight="1">
      <c r="A13" s="339" t="s">
        <v>291</v>
      </c>
      <c r="B13" s="340">
        <v>170000</v>
      </c>
      <c r="C13" s="340">
        <v>170000</v>
      </c>
      <c r="D13" s="341">
        <f>191300-110000</f>
        <v>81300</v>
      </c>
      <c r="E13" s="341">
        <v>120600</v>
      </c>
      <c r="F13" s="341">
        <v>161400</v>
      </c>
      <c r="G13" s="321">
        <f t="shared" si="0"/>
        <v>0.9494117647058824</v>
      </c>
    </row>
    <row r="14" spans="1:7" ht="15" customHeight="1">
      <c r="A14" s="336" t="s">
        <v>292</v>
      </c>
      <c r="B14" s="337">
        <v>125000</v>
      </c>
      <c r="C14" s="337">
        <v>110000</v>
      </c>
      <c r="D14" s="338">
        <v>110000</v>
      </c>
      <c r="E14" s="338">
        <v>110000</v>
      </c>
      <c r="F14" s="338">
        <v>110000</v>
      </c>
      <c r="G14" s="321">
        <f t="shared" si="0"/>
        <v>1</v>
      </c>
    </row>
    <row r="15" spans="1:7" ht="15" customHeight="1">
      <c r="A15" s="342" t="s">
        <v>293</v>
      </c>
      <c r="B15" s="343">
        <v>25000</v>
      </c>
      <c r="C15" s="343">
        <v>15000</v>
      </c>
      <c r="D15" s="344">
        <v>2000</v>
      </c>
      <c r="E15" s="344">
        <v>2000</v>
      </c>
      <c r="F15" s="344">
        <v>2000</v>
      </c>
      <c r="G15" s="321">
        <f t="shared" si="0"/>
        <v>0.13333333333333333</v>
      </c>
    </row>
    <row r="16" spans="1:7" ht="15" customHeight="1" thickBot="1">
      <c r="A16" s="342" t="s">
        <v>294</v>
      </c>
      <c r="B16" s="343">
        <v>10000</v>
      </c>
      <c r="C16" s="343">
        <v>10000</v>
      </c>
      <c r="D16" s="344">
        <v>0</v>
      </c>
      <c r="E16" s="344">
        <v>0</v>
      </c>
      <c r="F16" s="344">
        <v>6000</v>
      </c>
      <c r="G16" s="321">
        <f t="shared" si="0"/>
        <v>0.6</v>
      </c>
    </row>
    <row r="17" spans="1:7" ht="15" customHeight="1" thickBot="1">
      <c r="A17" s="345" t="s">
        <v>288</v>
      </c>
      <c r="B17" s="328">
        <f>SUM(B12:B16)</f>
        <v>610000</v>
      </c>
      <c r="C17" s="328">
        <f>SUM(C12:C16)</f>
        <v>588000</v>
      </c>
      <c r="D17" s="329">
        <f>SUM(D12:D16)</f>
        <v>324581.5</v>
      </c>
      <c r="E17" s="329">
        <f>SUM(E12:E16)</f>
        <v>424196.2</v>
      </c>
      <c r="F17" s="329">
        <f>SUM(F12:F16)</f>
        <v>536101.2</v>
      </c>
      <c r="G17" s="321">
        <f t="shared" si="0"/>
        <v>0.9117367346938775</v>
      </c>
    </row>
    <row r="18" ht="15" customHeight="1" thickBot="1">
      <c r="G18" s="321"/>
    </row>
    <row r="19" spans="1:7" ht="15" customHeight="1" thickBot="1">
      <c r="A19" s="319" t="s">
        <v>295</v>
      </c>
      <c r="B19" s="346">
        <f>+B8-B17</f>
        <v>0</v>
      </c>
      <c r="C19" s="346">
        <f>+C8-C17</f>
        <v>0</v>
      </c>
      <c r="D19" s="346">
        <f>+D8-D17</f>
        <v>-44461.25</v>
      </c>
      <c r="E19" s="346">
        <f>+E8-E17</f>
        <v>-35.929999999993015</v>
      </c>
      <c r="F19" s="346">
        <f>+F8-F17</f>
        <v>51754.53000000003</v>
      </c>
      <c r="G19" s="321"/>
    </row>
    <row r="20" ht="15" customHeight="1" thickBot="1">
      <c r="G20" s="321"/>
    </row>
    <row r="21" spans="1:7" ht="15" customHeight="1" thickBot="1">
      <c r="A21" s="347" t="s">
        <v>296</v>
      </c>
      <c r="B21" s="346">
        <f>+B4+B8-B17</f>
        <v>198494.07999999996</v>
      </c>
      <c r="C21" s="346">
        <f>+C4+C8-C17</f>
        <v>198494.07999999996</v>
      </c>
      <c r="D21" s="346">
        <f>+D4+D8-D17</f>
        <v>154032.82999999996</v>
      </c>
      <c r="E21" s="346">
        <f>+E4+E8-E17</f>
        <v>198458.14999999997</v>
      </c>
      <c r="F21" s="346">
        <f>+F4+F8-F17</f>
        <v>250248.61</v>
      </c>
      <c r="G21" s="321">
        <f>+F21/C21</f>
        <v>1.2607358869342604</v>
      </c>
    </row>
  </sheetData>
  <sheetProtection/>
  <printOptions/>
  <pageMargins left="0.63" right="0.56" top="0.984251969" bottom="0.984251969" header="0.4921259845" footer="0.4921259845"/>
  <pageSetup horizontalDpi="600" verticalDpi="600" orientation="landscape" paperSize="9" r:id="rId1"/>
  <headerFooter alignWithMargins="0">
    <oddHeader>&amp;CZávěrečný účet města Blovice za rok 2012</oddHeader>
    <oddFooter>&amp;Lvyvěšeno:
sejmuto:&amp;Rsestavil: Ing.Hodek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0.57421875" style="0" customWidth="1"/>
    <col min="2" max="8" width="13.7109375" style="0" customWidth="1"/>
  </cols>
  <sheetData>
    <row r="1" spans="1:8" ht="22.5" customHeight="1" thickBot="1">
      <c r="A1" s="400" t="s">
        <v>297</v>
      </c>
      <c r="B1" s="400"/>
      <c r="C1" s="400"/>
      <c r="D1" s="400"/>
      <c r="E1" s="400"/>
      <c r="F1" s="400"/>
      <c r="G1" s="400"/>
      <c r="H1" s="400"/>
    </row>
    <row r="2" spans="1:8" ht="19.5" customHeight="1">
      <c r="A2" s="348"/>
      <c r="B2" s="405" t="s">
        <v>298</v>
      </c>
      <c r="C2" s="406"/>
      <c r="D2" s="405" t="s">
        <v>299</v>
      </c>
      <c r="E2" s="406"/>
      <c r="F2" s="349" t="s">
        <v>300</v>
      </c>
      <c r="G2" s="405" t="s">
        <v>301</v>
      </c>
      <c r="H2" s="406"/>
    </row>
    <row r="3" spans="1:8" ht="19.5" customHeight="1" thickBot="1">
      <c r="A3" s="350"/>
      <c r="B3" s="351">
        <v>2012</v>
      </c>
      <c r="C3" s="352">
        <v>2011</v>
      </c>
      <c r="D3" s="351">
        <v>2012</v>
      </c>
      <c r="E3" s="352">
        <v>2011</v>
      </c>
      <c r="F3" s="353">
        <v>2012</v>
      </c>
      <c r="G3" s="351" t="s">
        <v>302</v>
      </c>
      <c r="H3" s="352" t="s">
        <v>303</v>
      </c>
    </row>
    <row r="4" spans="1:8" ht="19.5" customHeight="1">
      <c r="A4" s="354" t="s">
        <v>74</v>
      </c>
      <c r="B4" s="355">
        <v>3419412.04</v>
      </c>
      <c r="C4" s="356">
        <v>3544794.21</v>
      </c>
      <c r="D4" s="355">
        <v>3537356.94</v>
      </c>
      <c r="E4" s="356">
        <v>3523269.08</v>
      </c>
      <c r="F4" s="357">
        <f aca="true" t="shared" si="0" ref="F4:F9">+D4-B4</f>
        <v>117944.8999999999</v>
      </c>
      <c r="G4" s="358">
        <f>+F4</f>
        <v>117944.8999999999</v>
      </c>
      <c r="H4" s="359"/>
    </row>
    <row r="5" spans="1:8" ht="19.5" customHeight="1">
      <c r="A5" s="360" t="s">
        <v>304</v>
      </c>
      <c r="B5" s="361">
        <v>3237596.54</v>
      </c>
      <c r="C5" s="362">
        <v>3433945.49</v>
      </c>
      <c r="D5" s="361">
        <v>3228114.43</v>
      </c>
      <c r="E5" s="362">
        <v>3427294.15</v>
      </c>
      <c r="F5" s="363">
        <f t="shared" si="0"/>
        <v>-9482.10999999987</v>
      </c>
      <c r="G5" s="364">
        <f>+F5</f>
        <v>-9482.10999999987</v>
      </c>
      <c r="H5" s="365"/>
    </row>
    <row r="6" spans="1:8" ht="19.5" customHeight="1">
      <c r="A6" s="360" t="s">
        <v>73</v>
      </c>
      <c r="B6" s="361">
        <v>3881591.93</v>
      </c>
      <c r="C6" s="362">
        <v>3879566.93</v>
      </c>
      <c r="D6" s="361">
        <v>3932907.48</v>
      </c>
      <c r="E6" s="362">
        <v>3843031.32</v>
      </c>
      <c r="F6" s="357">
        <f t="shared" si="0"/>
        <v>51315.549999999814</v>
      </c>
      <c r="G6" s="358">
        <f>+F6</f>
        <v>51315.549999999814</v>
      </c>
      <c r="H6" s="365"/>
    </row>
    <row r="7" spans="1:8" ht="19.5" customHeight="1">
      <c r="A7" s="360" t="s">
        <v>75</v>
      </c>
      <c r="B7" s="361">
        <v>6443303.76</v>
      </c>
      <c r="C7" s="362">
        <v>6198909.98</v>
      </c>
      <c r="D7" s="361">
        <v>6611311.36</v>
      </c>
      <c r="E7" s="362">
        <v>6107994.97</v>
      </c>
      <c r="F7" s="357">
        <f t="shared" si="0"/>
        <v>168007.60000000056</v>
      </c>
      <c r="G7" s="358">
        <f>+F7-50000</f>
        <v>118007.60000000056</v>
      </c>
      <c r="H7" s="365">
        <v>50000</v>
      </c>
    </row>
    <row r="8" spans="1:8" ht="19.5" customHeight="1">
      <c r="A8" s="366" t="s">
        <v>305</v>
      </c>
      <c r="B8" s="367">
        <v>24129378.2</v>
      </c>
      <c r="C8" s="368">
        <v>24086046.41</v>
      </c>
      <c r="D8" s="367">
        <v>24047079.06</v>
      </c>
      <c r="E8" s="368">
        <v>23972024.28</v>
      </c>
      <c r="F8" s="357">
        <f t="shared" si="0"/>
        <v>-82299.1400000006</v>
      </c>
      <c r="G8" s="401">
        <f>SUM(F8:F9)</f>
        <v>28285.98999999941</v>
      </c>
      <c r="H8" s="403"/>
    </row>
    <row r="9" spans="1:8" ht="19.5" customHeight="1" thickBot="1">
      <c r="A9" s="369" t="s">
        <v>306</v>
      </c>
      <c r="B9" s="370">
        <v>640383.87</v>
      </c>
      <c r="C9" s="371">
        <v>564883.98</v>
      </c>
      <c r="D9" s="370">
        <v>750969</v>
      </c>
      <c r="E9" s="371">
        <v>688252</v>
      </c>
      <c r="F9" s="372">
        <f t="shared" si="0"/>
        <v>110585.13</v>
      </c>
      <c r="G9" s="402"/>
      <c r="H9" s="404"/>
    </row>
    <row r="10" spans="1:8" ht="19.5" customHeight="1">
      <c r="A10" s="373" t="s">
        <v>254</v>
      </c>
      <c r="B10" s="374"/>
      <c r="C10" s="374"/>
      <c r="D10" s="374"/>
      <c r="E10" s="374"/>
      <c r="F10" s="374"/>
      <c r="G10" s="374"/>
      <c r="H10" s="374"/>
    </row>
    <row r="11" spans="1:8" ht="19.5" customHeight="1">
      <c r="A11" t="s">
        <v>307</v>
      </c>
      <c r="B11" s="374"/>
      <c r="C11" s="374"/>
      <c r="D11" s="374"/>
      <c r="E11" s="374"/>
      <c r="G11" s="375" t="s">
        <v>308</v>
      </c>
      <c r="H11" s="374"/>
    </row>
    <row r="12" spans="2:8" ht="19.5" customHeight="1">
      <c r="B12" s="374"/>
      <c r="C12" s="374"/>
      <c r="D12" s="374"/>
      <c r="E12" s="374"/>
      <c r="F12" s="374"/>
      <c r="G12" s="374"/>
      <c r="H12" s="374"/>
    </row>
    <row r="13" spans="1:8" ht="19.5" customHeight="1">
      <c r="A13" t="s">
        <v>309</v>
      </c>
      <c r="B13" s="374"/>
      <c r="C13" s="374"/>
      <c r="D13" s="374"/>
      <c r="E13" s="374"/>
      <c r="F13" s="374"/>
      <c r="G13" s="374"/>
      <c r="H13" s="374"/>
    </row>
    <row r="14" spans="2:8" ht="12.75">
      <c r="B14" s="374"/>
      <c r="C14" s="374"/>
      <c r="D14" s="374"/>
      <c r="E14" s="374"/>
      <c r="F14" s="374"/>
      <c r="G14" s="374"/>
      <c r="H14" s="374"/>
    </row>
    <row r="15" spans="2:8" ht="12.75">
      <c r="B15" s="374"/>
      <c r="C15" s="374"/>
      <c r="D15" s="374"/>
      <c r="E15" s="374"/>
      <c r="F15" s="374"/>
      <c r="G15" s="374"/>
      <c r="H15" s="374"/>
    </row>
    <row r="16" spans="2:8" ht="12.75">
      <c r="B16" s="374"/>
      <c r="C16" s="374"/>
      <c r="D16" s="374"/>
      <c r="E16" s="374"/>
      <c r="F16" s="374"/>
      <c r="G16" s="374"/>
      <c r="H16" s="374"/>
    </row>
    <row r="17" spans="2:8" ht="12.75">
      <c r="B17" s="374"/>
      <c r="C17" s="374"/>
      <c r="D17" s="374"/>
      <c r="E17" s="374"/>
      <c r="F17" s="374"/>
      <c r="G17" s="374"/>
      <c r="H17" s="374"/>
    </row>
    <row r="18" spans="2:8" ht="12.75">
      <c r="B18" s="374"/>
      <c r="C18" s="374"/>
      <c r="D18" s="374"/>
      <c r="E18" s="374"/>
      <c r="F18" s="374"/>
      <c r="G18" s="374"/>
      <c r="H18" s="374"/>
    </row>
    <row r="19" spans="2:8" ht="12.75">
      <c r="B19" s="374"/>
      <c r="C19" s="374"/>
      <c r="D19" s="374"/>
      <c r="E19" s="374"/>
      <c r="F19" s="374"/>
      <c r="G19" s="374"/>
      <c r="H19" s="374"/>
    </row>
    <row r="20" spans="2:8" ht="12.75">
      <c r="B20" s="374"/>
      <c r="C20" s="374"/>
      <c r="D20" s="374"/>
      <c r="E20" s="374"/>
      <c r="F20" s="374"/>
      <c r="G20" s="374"/>
      <c r="H20" s="374"/>
    </row>
  </sheetData>
  <sheetProtection/>
  <mergeCells count="6">
    <mergeCell ref="A1:H1"/>
    <mergeCell ref="G8:G9"/>
    <mergeCell ref="H8:H9"/>
    <mergeCell ref="G2:H2"/>
    <mergeCell ref="B2:C2"/>
    <mergeCell ref="D2:E2"/>
  </mergeCells>
  <printOptions/>
  <pageMargins left="0.92" right="0.1968503937007874" top="0.93" bottom="0.3937007874015748" header="0.36" footer="0.5118110236220472"/>
  <pageSetup horizontalDpi="600" verticalDpi="600" orientation="landscape" paperSize="9" scale="105" r:id="rId1"/>
  <headerFooter alignWithMargins="0">
    <oddHeader>&amp;CZávěrečný účet města Blovice za rok 2012</oddHeader>
    <oddFooter>&amp;Lvyvěšeno:
sejmuto: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2014-04-02T08:35:34Z</cp:lastPrinted>
  <dcterms:created xsi:type="dcterms:W3CDTF">2012-01-09T10:21:42Z</dcterms:created>
  <dcterms:modified xsi:type="dcterms:W3CDTF">2014-04-02T08:35:39Z</dcterms:modified>
  <cp:category/>
  <cp:version/>
  <cp:contentType/>
  <cp:contentStatus/>
</cp:coreProperties>
</file>