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450" windowHeight="9225" activeTab="0"/>
  </bookViews>
  <sheets>
    <sheet name="Příjmy_Výdaje" sheetId="1" r:id="rId1"/>
    <sheet name="výhled 2012_15" sheetId="2" r:id="rId2"/>
  </sheets>
  <definedNames>
    <definedName name="_xlnm.Print_Area" localSheetId="0">'Příjmy_Výdaje'!$A$1:$L$116</definedName>
    <definedName name="_xlnm.Print_Area" localSheetId="1">'výhled 2012_15'!$A$1:$H$91</definedName>
  </definedNames>
  <calcPr fullCalcOnLoad="1"/>
</workbook>
</file>

<file path=xl/sharedStrings.xml><?xml version="1.0" encoding="utf-8"?>
<sst xmlns="http://schemas.openxmlformats.org/spreadsheetml/2006/main" count="288" uniqueCount="187">
  <si>
    <t xml:space="preserve">Příjmy - tis.Kč </t>
  </si>
  <si>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</si>
  <si>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</si>
  <si>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</si>
  <si>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</si>
  <si>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</si>
  <si>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</si>
  <si>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</si>
  <si>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</si>
  <si>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</si>
  <si>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soc. dávky</t>
  </si>
  <si>
    <t>vzdělávání eGON (OPLZZ)</t>
  </si>
  <si>
    <t>knihovna - PK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</si>
  <si>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</si>
  <si>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</si>
  <si>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</si>
  <si>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</si>
  <si>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</si>
  <si>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</si>
  <si>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</si>
  <si>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</si>
  <si>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</si>
  <si>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</si>
  <si>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</si>
  <si>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</si>
  <si>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</si>
  <si>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</si>
  <si>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</si>
  <si>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</si>
  <si>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</si>
  <si>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</si>
  <si>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</si>
  <si>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</si>
  <si>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</si>
  <si>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</si>
  <si>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</si>
  <si>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</si>
  <si>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(prodeje)</t>
  </si>
  <si>
    <t>prodeje pozemků Hradiště II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</si>
  <si>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</si>
  <si>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</si>
  <si>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</si>
  <si>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</si>
  <si>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</si>
  <si>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</si>
  <si>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</si>
  <si>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</si>
  <si>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</si>
  <si>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</si>
  <si>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</si>
  <si>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</si>
  <si>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</si>
  <si>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</si>
  <si>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</si>
  <si>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</si>
  <si>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</si>
  <si>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</si>
  <si>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</si>
  <si>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</si>
  <si>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</si>
  <si>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</si>
  <si>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</si>
  <si>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</si>
  <si>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</si>
  <si>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</si>
  <si>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</si>
  <si>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ZUŠ</t>
  </si>
  <si>
    <t>DDM</t>
  </si>
  <si>
    <t>MŠ</t>
  </si>
  <si>
    <t>MŠ-ŠJ</t>
  </si>
  <si>
    <t>SPRÁVA MĚÚ</t>
  </si>
  <si>
    <t>Měú Blovice</t>
  </si>
  <si>
    <t>KULTURA/SPORT</t>
  </si>
  <si>
    <t>LD provoz + noviny</t>
  </si>
  <si>
    <t>knihovna</t>
  </si>
  <si>
    <t>Sokol</t>
  </si>
  <si>
    <t>ost.spolky+kult.akce</t>
  </si>
  <si>
    <t>ROZVOJ MĚSTA</t>
  </si>
  <si>
    <t xml:space="preserve">"Čistá Berounka" </t>
  </si>
  <si>
    <t>územní plán Blovice</t>
  </si>
  <si>
    <t>chodník Husova</t>
  </si>
  <si>
    <t>infrastruktura Hradiště II</t>
  </si>
  <si>
    <t>obnova vodovodů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</si>
  <si>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</si>
  <si>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</si>
  <si>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</si>
  <si>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</si>
  <si>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</si>
  <si>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</si>
  <si>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</si>
  <si>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</si>
  <si>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</si>
  <si>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</si>
  <si>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</si>
  <si>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</si>
  <si>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</si>
  <si>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</si>
  <si>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"Čistá Berounka" provoz svazku</t>
  </si>
  <si>
    <t>ostatní výdaje</t>
  </si>
  <si>
    <t>SOC.VĚCI</t>
  </si>
  <si>
    <t>peč.služba</t>
  </si>
  <si>
    <t>CELKEM VÝDAJE PŘED KONS.</t>
  </si>
  <si>
    <t>CELKEM VÝDAJE PO KONS.</t>
  </si>
  <si>
    <t>HV PO KONSOLIDACI</t>
  </si>
  <si>
    <t>Financování</t>
  </si>
  <si>
    <t>Přijaté úvěry(revolving+poliklinika+ČB)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</si>
  <si>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</si>
  <si>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</si>
  <si>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</si>
  <si>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</si>
  <si>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</si>
  <si>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</si>
  <si>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</si>
  <si>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</si>
  <si>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</si>
  <si>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</si>
  <si>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BIKEPARK Blovice</t>
  </si>
  <si>
    <t>DDM - snížení energ.náročnosti</t>
  </si>
  <si>
    <t>nevyuž.dotace 2010</t>
  </si>
  <si>
    <t>Městská policie</t>
  </si>
  <si>
    <t>radnice - věžička, nákup budovy</t>
  </si>
  <si>
    <t>prodeje pozemků, staveb</t>
  </si>
  <si>
    <t>prodej plynovodu Hradiště II</t>
  </si>
  <si>
    <t>rekonstrukce radnice (SZIF)</t>
  </si>
  <si>
    <t>příspěvek na Gymnázium</t>
  </si>
  <si>
    <t>dotace z UP na mzdy</t>
  </si>
  <si>
    <t xml:space="preserve">ostatní </t>
  </si>
  <si>
    <t>oprava nemovitostí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</si>
  <si>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</si>
  <si>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</si>
  <si>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</si>
  <si>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</si>
  <si>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</si>
  <si>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</si>
  <si>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</si>
  <si>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</si>
  <si>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</si>
  <si>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</si>
  <si>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</si>
  <si>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</si>
  <si>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</si>
  <si>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</si>
  <si>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</si>
  <si>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</si>
  <si>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</si>
  <si>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</si>
  <si>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</si>
  <si>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</si>
  <si>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</si>
  <si>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</si>
  <si>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</si>
  <si>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</si>
  <si>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</si>
  <si>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</si>
  <si>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</si>
  <si>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</si>
  <si>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</si>
  <si>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</si>
  <si>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</si>
  <si>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</si>
  <si>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</si>
  <si>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</si>
  <si>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</si>
  <si>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</si>
  <si>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</si>
  <si>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</si>
  <si>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</si>
  <si>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</si>
  <si>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</si>
  <si>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</si>
  <si>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</si>
  <si>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podíl běžných výdajů na celk.výdajích</t>
  </si>
  <si>
    <t>podíl investic na celkových výdajích</t>
  </si>
  <si>
    <t>rozp.2010</t>
  </si>
  <si>
    <t>JSDH Blovice - provoz (JPOIII)</t>
  </si>
  <si>
    <t>kanalizace Na Výsluní</t>
  </si>
  <si>
    <t>rozpočet 2011</t>
  </si>
  <si>
    <t>I.úprava</t>
  </si>
  <si>
    <t>ZŠ dotace EU</t>
  </si>
  <si>
    <t>DDM - projekt úspory energie</t>
  </si>
  <si>
    <t>II.úprava</t>
  </si>
  <si>
    <t>výsl.2010</t>
  </si>
  <si>
    <t>sběrný dvůr vč.výkupu pozemku</t>
  </si>
  <si>
    <t>přechod pro chodce Setecká</t>
  </si>
  <si>
    <t>prům.zona, ostatní</t>
  </si>
  <si>
    <t>odpadní jímka Štítov</t>
  </si>
  <si>
    <t>III.úprava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</si>
</sst>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0"/>
      <color indexed="8"/>
      <name val="Arial CE"/>
      <family val="0"/>
    </font>
    <font>
      <b/>
      <u val="single"/>
      <sz val="10"/>
      <name val="Arial CE"/>
      <family val="0"/>
    </font>
    <font>
      <b/>
      <i/>
      <sz val="10"/>
      <color indexed="8"/>
      <name val="Arial CE"/>
      <family val="2"/>
    </font>
    <font>
      <b/>
      <sz val="9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b/>
      <i/>
      <sz val="13.5"/>
      <name val="Arial CE"/>
      <family val="2"/>
    </font>
    <font>
      <sz val="20"/>
      <name val="Arial CE"/>
      <family val="0"/>
    </font>
    <font>
      <sz val="16"/>
      <name val="Arial CE"/>
      <family val="0"/>
    </font>
    <font>
      <sz val="11.25"/>
      <name val="Arial CE"/>
      <family val="2"/>
    </font>
    <font>
      <sz val="8.75"/>
      <name val="Arial CE"/>
      <family val="0"/>
    </font>
    <font>
      <i/>
      <sz val="10"/>
      <color indexed="8"/>
      <name val="Arial CE"/>
      <family val="0"/>
    </font>
    <font>
      <u val="single"/>
      <sz val="10"/>
      <color indexed="8"/>
      <name val="Arial CE"/>
      <family val="0"/>
    </font>
    <font>
      <u val="single"/>
      <sz val="10"/>
      <name val="Arial CE"/>
      <family val="0"/>
    </font>
    <font>
      <b/>
      <u val="single"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6" fillId="0" borderId="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32" xfId="0" applyFill="1" applyBorder="1" applyAlignment="1">
      <alignment/>
    </xf>
    <xf numFmtId="0" fontId="2" fillId="0" borderId="9" xfId="20" applyFont="1" applyBorder="1">
      <alignment/>
      <protection/>
    </xf>
    <xf numFmtId="0" fontId="6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1" fontId="9" fillId="0" borderId="31" xfId="0" applyNumberFormat="1" applyFont="1" applyFill="1" applyBorder="1" applyAlignment="1">
      <alignment/>
    </xf>
    <xf numFmtId="1" fontId="9" fillId="0" borderId="34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7" fillId="0" borderId="22" xfId="20" applyFont="1" applyBorder="1" applyAlignment="1">
      <alignment horizontal="center"/>
      <protection/>
    </xf>
    <xf numFmtId="0" fontId="7" fillId="0" borderId="24" xfId="20" applyFont="1" applyBorder="1" applyAlignment="1">
      <alignment horizontal="center"/>
      <protection/>
    </xf>
    <xf numFmtId="0" fontId="10" fillId="0" borderId="36" xfId="20" applyFont="1" applyFill="1" applyBorder="1" applyAlignment="1">
      <alignment horizontal="center"/>
      <protection/>
    </xf>
    <xf numFmtId="0" fontId="10" fillId="0" borderId="36" xfId="20" applyFont="1" applyFill="1" applyBorder="1" applyAlignment="1">
      <alignment horizontal="center"/>
      <protection/>
    </xf>
    <xf numFmtId="0" fontId="6" fillId="0" borderId="18" xfId="20" applyFont="1" applyBorder="1">
      <alignment/>
      <protection/>
    </xf>
    <xf numFmtId="0" fontId="6" fillId="0" borderId="19" xfId="20" applyFont="1" applyBorder="1">
      <alignment/>
      <protection/>
    </xf>
    <xf numFmtId="1" fontId="2" fillId="0" borderId="37" xfId="20" applyNumberFormat="1" applyBorder="1">
      <alignment/>
      <protection/>
    </xf>
    <xf numFmtId="1" fontId="2" fillId="0" borderId="38" xfId="20" applyNumberFormat="1" applyFont="1" applyBorder="1">
      <alignment/>
      <protection/>
    </xf>
    <xf numFmtId="1" fontId="2" fillId="0" borderId="32" xfId="20" applyNumberFormat="1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1" fontId="2" fillId="0" borderId="10" xfId="20" applyNumberFormat="1" applyBorder="1">
      <alignment/>
      <protection/>
    </xf>
    <xf numFmtId="1" fontId="2" fillId="0" borderId="32" xfId="20" applyNumberFormat="1" applyBorder="1">
      <alignment/>
      <protection/>
    </xf>
    <xf numFmtId="0" fontId="6" fillId="0" borderId="15" xfId="20" applyFont="1" applyFill="1" applyBorder="1">
      <alignment/>
      <protection/>
    </xf>
    <xf numFmtId="0" fontId="6" fillId="0" borderId="16" xfId="20" applyFont="1" applyBorder="1">
      <alignment/>
      <protection/>
    </xf>
    <xf numFmtId="1" fontId="2" fillId="0" borderId="16" xfId="20" applyNumberFormat="1" applyBorder="1">
      <alignment/>
      <protection/>
    </xf>
    <xf numFmtId="1" fontId="2" fillId="0" borderId="34" xfId="20" applyNumberFormat="1" applyBorder="1">
      <alignment/>
      <protection/>
    </xf>
    <xf numFmtId="1" fontId="2" fillId="0" borderId="39" xfId="20" applyNumberFormat="1" applyFont="1" applyBorder="1">
      <alignment/>
      <protection/>
    </xf>
    <xf numFmtId="0" fontId="6" fillId="0" borderId="33" xfId="20" applyFont="1" applyBorder="1">
      <alignment/>
      <protection/>
    </xf>
    <xf numFmtId="1" fontId="8" fillId="0" borderId="40" xfId="20" applyNumberFormat="1" applyFont="1" applyFill="1" applyBorder="1">
      <alignment/>
      <protection/>
    </xf>
    <xf numFmtId="1" fontId="8" fillId="0" borderId="36" xfId="20" applyNumberFormat="1" applyFont="1" applyFill="1" applyBorder="1">
      <alignment/>
      <protection/>
    </xf>
    <xf numFmtId="0" fontId="11" fillId="0" borderId="0" xfId="20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" fontId="8" fillId="0" borderId="40" xfId="20" applyNumberFormat="1" applyFont="1" applyFill="1" applyBorder="1" applyAlignment="1">
      <alignment/>
      <protection/>
    </xf>
    <xf numFmtId="1" fontId="8" fillId="0" borderId="40" xfId="20" applyNumberFormat="1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2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3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10" fillId="0" borderId="41" xfId="20" applyFont="1" applyFill="1" applyBorder="1" applyAlignment="1">
      <alignment horizontal="center"/>
      <protection/>
    </xf>
    <xf numFmtId="0" fontId="6" fillId="0" borderId="6" xfId="20" applyFont="1" applyBorder="1">
      <alignment/>
      <protection/>
    </xf>
    <xf numFmtId="0" fontId="6" fillId="0" borderId="7" xfId="20" applyFont="1" applyBorder="1">
      <alignment/>
      <protection/>
    </xf>
    <xf numFmtId="1" fontId="2" fillId="0" borderId="31" xfId="20" applyNumberFormat="1" applyFont="1" applyBorder="1">
      <alignment/>
      <protection/>
    </xf>
    <xf numFmtId="1" fontId="2" fillId="0" borderId="37" xfId="20" applyNumberFormat="1" applyFont="1" applyBorder="1">
      <alignment/>
      <protection/>
    </xf>
    <xf numFmtId="1" fontId="2" fillId="0" borderId="32" xfId="20" applyNumberFormat="1" applyFont="1" applyBorder="1">
      <alignment/>
      <protection/>
    </xf>
    <xf numFmtId="1" fontId="2" fillId="0" borderId="34" xfId="20" applyNumberFormat="1" applyFont="1" applyBorder="1">
      <alignment/>
      <protection/>
    </xf>
    <xf numFmtId="0" fontId="6" fillId="0" borderId="30" xfId="20" applyFont="1" applyBorder="1">
      <alignment/>
      <protection/>
    </xf>
    <xf numFmtId="1" fontId="8" fillId="0" borderId="40" xfId="20" applyNumberFormat="1" applyFont="1" applyFill="1" applyBorder="1">
      <alignment/>
      <protection/>
    </xf>
    <xf numFmtId="0" fontId="2" fillId="0" borderId="0" xfId="20" applyFont="1">
      <alignment/>
      <protection/>
    </xf>
    <xf numFmtId="0" fontId="6" fillId="0" borderId="1" xfId="20" applyFont="1" applyFill="1" applyBorder="1">
      <alignment/>
      <protection/>
    </xf>
    <xf numFmtId="1" fontId="6" fillId="0" borderId="40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10" fillId="0" borderId="0" xfId="20" applyFont="1" applyFill="1" applyBorder="1" applyAlignment="1">
      <alignment horizontal="center"/>
      <protection/>
    </xf>
    <xf numFmtId="1" fontId="12" fillId="0" borderId="31" xfId="20" applyNumberFormat="1" applyFont="1" applyFill="1" applyBorder="1">
      <alignment/>
      <protection/>
    </xf>
    <xf numFmtId="1" fontId="12" fillId="0" borderId="42" xfId="20" applyNumberFormat="1" applyFont="1" applyFill="1" applyBorder="1">
      <alignment/>
      <protection/>
    </xf>
    <xf numFmtId="0" fontId="6" fillId="0" borderId="15" xfId="20" applyFont="1" applyBorder="1">
      <alignment/>
      <protection/>
    </xf>
    <xf numFmtId="1" fontId="12" fillId="0" borderId="34" xfId="20" applyNumberFormat="1" applyFont="1" applyFill="1" applyBorder="1">
      <alignment/>
      <protection/>
    </xf>
    <xf numFmtId="1" fontId="12" fillId="0" borderId="43" xfId="20" applyNumberFormat="1" applyFont="1" applyFill="1" applyBorder="1">
      <alignment/>
      <protection/>
    </xf>
    <xf numFmtId="1" fontId="12" fillId="0" borderId="39" xfId="20" applyNumberFormat="1" applyFont="1" applyFill="1" applyBorder="1">
      <alignment/>
      <protection/>
    </xf>
    <xf numFmtId="1" fontId="6" fillId="0" borderId="40" xfId="20" applyNumberFormat="1" applyFont="1" applyBorder="1">
      <alignment/>
      <protection/>
    </xf>
    <xf numFmtId="1" fontId="6" fillId="0" borderId="36" xfId="20" applyNumberFormat="1" applyFont="1" applyBorder="1">
      <alignment/>
      <protection/>
    </xf>
    <xf numFmtId="1" fontId="6" fillId="0" borderId="0" xfId="20" applyNumberFormat="1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31" xfId="20" applyBorder="1">
      <alignment/>
      <protection/>
    </xf>
    <xf numFmtId="0" fontId="2" fillId="0" borderId="42" xfId="20" applyBorder="1">
      <alignment/>
      <protection/>
    </xf>
    <xf numFmtId="0" fontId="2" fillId="0" borderId="9" xfId="20" applyBorder="1">
      <alignment/>
      <protection/>
    </xf>
    <xf numFmtId="0" fontId="2" fillId="0" borderId="32" xfId="20" applyBorder="1">
      <alignment/>
      <protection/>
    </xf>
    <xf numFmtId="0" fontId="2" fillId="0" borderId="38" xfId="20" applyBorder="1">
      <alignment/>
      <protection/>
    </xf>
    <xf numFmtId="0" fontId="2" fillId="0" borderId="15" xfId="20" applyBorder="1">
      <alignment/>
      <protection/>
    </xf>
    <xf numFmtId="0" fontId="2" fillId="0" borderId="34" xfId="20" applyBorder="1">
      <alignment/>
      <protection/>
    </xf>
    <xf numFmtId="0" fontId="2" fillId="0" borderId="44" xfId="20" applyBorder="1">
      <alignment/>
      <protection/>
    </xf>
    <xf numFmtId="0" fontId="6" fillId="0" borderId="40" xfId="20" applyFont="1" applyBorder="1">
      <alignment/>
      <protection/>
    </xf>
    <xf numFmtId="0" fontId="6" fillId="0" borderId="36" xfId="20" applyFont="1" applyBorder="1">
      <alignment/>
      <protection/>
    </xf>
    <xf numFmtId="0" fontId="2" fillId="0" borderId="0" xfId="20" applyBorder="1">
      <alignment/>
      <protection/>
    </xf>
    <xf numFmtId="165" fontId="6" fillId="0" borderId="23" xfId="21" applyNumberFormat="1" applyFont="1" applyBorder="1" applyAlignment="1">
      <alignment/>
    </xf>
    <xf numFmtId="0" fontId="6" fillId="0" borderId="1" xfId="20" applyFont="1" applyFill="1" applyBorder="1">
      <alignment/>
      <protection/>
    </xf>
    <xf numFmtId="0" fontId="6" fillId="0" borderId="23" xfId="20" applyFont="1" applyFill="1" applyBorder="1">
      <alignment/>
      <protection/>
    </xf>
    <xf numFmtId="0" fontId="13" fillId="0" borderId="0" xfId="20" applyFont="1">
      <alignment/>
      <protection/>
    </xf>
    <xf numFmtId="0" fontId="10" fillId="0" borderId="13" xfId="20" applyFont="1" applyFill="1" applyBorder="1" applyAlignment="1">
      <alignment horizontal="center"/>
      <protection/>
    </xf>
    <xf numFmtId="1" fontId="2" fillId="0" borderId="7" xfId="20" applyNumberFormat="1" applyBorder="1">
      <alignment/>
      <protection/>
    </xf>
    <xf numFmtId="1" fontId="2" fillId="0" borderId="8" xfId="20" applyNumberFormat="1" applyBorder="1">
      <alignment/>
      <protection/>
    </xf>
    <xf numFmtId="1" fontId="2" fillId="0" borderId="31" xfId="20" applyNumberFormat="1" applyBorder="1">
      <alignment/>
      <protection/>
    </xf>
    <xf numFmtId="1" fontId="2" fillId="0" borderId="11" xfId="20" applyNumberFormat="1" applyBorder="1">
      <alignment/>
      <protection/>
    </xf>
    <xf numFmtId="0" fontId="2" fillId="0" borderId="15" xfId="20" applyFont="1" applyBorder="1">
      <alignment/>
      <protection/>
    </xf>
    <xf numFmtId="1" fontId="2" fillId="0" borderId="16" xfId="20" applyNumberFormat="1" applyFont="1" applyBorder="1">
      <alignment/>
      <protection/>
    </xf>
    <xf numFmtId="1" fontId="2" fillId="0" borderId="17" xfId="20" applyNumberFormat="1" applyFont="1" applyBorder="1">
      <alignment/>
      <protection/>
    </xf>
    <xf numFmtId="1" fontId="2" fillId="0" borderId="34" xfId="20" applyNumberFormat="1" applyFont="1" applyBorder="1">
      <alignment/>
      <protection/>
    </xf>
    <xf numFmtId="0" fontId="6" fillId="0" borderId="6" xfId="20" applyFont="1" applyBorder="1">
      <alignment/>
      <protection/>
    </xf>
    <xf numFmtId="1" fontId="6" fillId="0" borderId="7" xfId="20" applyNumberFormat="1" applyFont="1" applyBorder="1">
      <alignment/>
      <protection/>
    </xf>
    <xf numFmtId="1" fontId="6" fillId="0" borderId="8" xfId="20" applyNumberFormat="1" applyFont="1" applyBorder="1">
      <alignment/>
      <protection/>
    </xf>
    <xf numFmtId="1" fontId="6" fillId="0" borderId="31" xfId="20" applyNumberFormat="1" applyFont="1" applyBorder="1">
      <alignment/>
      <protection/>
    </xf>
    <xf numFmtId="0" fontId="6" fillId="0" borderId="15" xfId="20" applyFont="1" applyBorder="1">
      <alignment/>
      <protection/>
    </xf>
    <xf numFmtId="1" fontId="6" fillId="0" borderId="16" xfId="20" applyNumberFormat="1" applyFont="1" applyBorder="1">
      <alignment/>
      <protection/>
    </xf>
    <xf numFmtId="1" fontId="6" fillId="0" borderId="17" xfId="20" applyNumberFormat="1" applyFont="1" applyBorder="1">
      <alignment/>
      <protection/>
    </xf>
    <xf numFmtId="1" fontId="6" fillId="0" borderId="34" xfId="20" applyNumberFormat="1" applyFont="1" applyBorder="1">
      <alignment/>
      <protection/>
    </xf>
    <xf numFmtId="1" fontId="2" fillId="0" borderId="0" xfId="20" applyNumberFormat="1">
      <alignment/>
      <protection/>
    </xf>
    <xf numFmtId="1" fontId="2" fillId="0" borderId="17" xfId="20" applyNumberFormat="1" applyBorder="1">
      <alignment/>
      <protection/>
    </xf>
    <xf numFmtId="0" fontId="6" fillId="0" borderId="18" xfId="20" applyFont="1" applyBorder="1">
      <alignment/>
      <protection/>
    </xf>
    <xf numFmtId="1" fontId="6" fillId="0" borderId="19" xfId="20" applyNumberFormat="1" applyFont="1" applyBorder="1">
      <alignment/>
      <protection/>
    </xf>
    <xf numFmtId="1" fontId="6" fillId="0" borderId="20" xfId="20" applyNumberFormat="1" applyFont="1" applyBorder="1">
      <alignment/>
      <protection/>
    </xf>
    <xf numFmtId="1" fontId="6" fillId="0" borderId="37" xfId="20" applyNumberFormat="1" applyFont="1" applyBorder="1">
      <alignment/>
      <protection/>
    </xf>
    <xf numFmtId="0" fontId="6" fillId="0" borderId="22" xfId="20" applyFont="1" applyBorder="1">
      <alignment/>
      <protection/>
    </xf>
    <xf numFmtId="1" fontId="6" fillId="0" borderId="23" xfId="20" applyNumberFormat="1" applyFont="1" applyBorder="1">
      <alignment/>
      <protection/>
    </xf>
    <xf numFmtId="1" fontId="6" fillId="0" borderId="24" xfId="20" applyNumberFormat="1" applyFont="1" applyBorder="1">
      <alignment/>
      <protection/>
    </xf>
    <xf numFmtId="1" fontId="6" fillId="0" borderId="36" xfId="20" applyNumberFormat="1" applyFont="1" applyBorder="1">
      <alignment/>
      <protection/>
    </xf>
    <xf numFmtId="0" fontId="6" fillId="0" borderId="0" xfId="20" applyFont="1" applyBorder="1">
      <alignment/>
      <protection/>
    </xf>
    <xf numFmtId="1" fontId="6" fillId="0" borderId="0" xfId="20" applyNumberFormat="1" applyFont="1" applyBorder="1">
      <alignment/>
      <protection/>
    </xf>
    <xf numFmtId="165" fontId="2" fillId="0" borderId="0" xfId="21" applyNumberFormat="1" applyAlignment="1">
      <alignment/>
    </xf>
    <xf numFmtId="9" fontId="2" fillId="0" borderId="0" xfId="21" applyAlignment="1">
      <alignment/>
    </xf>
    <xf numFmtId="0" fontId="6" fillId="0" borderId="34" xfId="0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1" fontId="2" fillId="0" borderId="45" xfId="0" applyNumberFormat="1" applyFont="1" applyFill="1" applyBorder="1" applyAlignment="1">
      <alignment/>
    </xf>
    <xf numFmtId="0" fontId="12" fillId="0" borderId="31" xfId="0" applyFont="1" applyFill="1" applyBorder="1" applyAlignment="1">
      <alignment/>
    </xf>
    <xf numFmtId="1" fontId="12" fillId="0" borderId="9" xfId="0" applyNumberFormat="1" applyFont="1" applyFill="1" applyBorder="1" applyAlignment="1">
      <alignment/>
    </xf>
    <xf numFmtId="164" fontId="12" fillId="0" borderId="32" xfId="0" applyNumberFormat="1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6" xfId="0" applyFont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" fontId="12" fillId="0" borderId="34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1" fontId="12" fillId="0" borderId="22" xfId="0" applyNumberFormat="1" applyFont="1" applyFill="1" applyBorder="1" applyAlignment="1">
      <alignment/>
    </xf>
    <xf numFmtId="1" fontId="20" fillId="0" borderId="31" xfId="0" applyNumberFormat="1" applyFont="1" applyFill="1" applyBorder="1" applyAlignment="1">
      <alignment/>
    </xf>
    <xf numFmtId="1" fontId="20" fillId="0" borderId="34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9" fontId="2" fillId="0" borderId="32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34" xfId="0" applyNumberFormat="1" applyFont="1" applyFill="1" applyBorder="1" applyAlignment="1" applyProtection="1">
      <alignment/>
      <protection locked="0"/>
    </xf>
    <xf numFmtId="1" fontId="2" fillId="0" borderId="31" xfId="0" applyNumberFormat="1" applyFont="1" applyFill="1" applyBorder="1" applyAlignment="1">
      <alignment/>
    </xf>
    <xf numFmtId="1" fontId="2" fillId="0" borderId="32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1" fontId="2" fillId="0" borderId="34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39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" fontId="2" fillId="0" borderId="3" xfId="0" applyNumberFormat="1" applyFont="1" applyFill="1" applyBorder="1" applyAlignment="1">
      <alignment/>
    </xf>
    <xf numFmtId="1" fontId="2" fillId="0" borderId="36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/>
    </xf>
    <xf numFmtId="1" fontId="21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1" fillId="0" borderId="0" xfId="0" applyNumberFormat="1" applyFont="1" applyFill="1" applyBorder="1" applyAlignment="1">
      <alignment/>
    </xf>
    <xf numFmtId="1" fontId="2" fillId="0" borderId="37" xfId="0" applyNumberFormat="1" applyFont="1" applyFill="1" applyBorder="1" applyAlignment="1">
      <alignment/>
    </xf>
    <xf numFmtId="1" fontId="2" fillId="0" borderId="38" xfId="0" applyNumberFormat="1" applyFont="1" applyFill="1" applyBorder="1" applyAlignment="1">
      <alignment/>
    </xf>
    <xf numFmtId="1" fontId="2" fillId="0" borderId="19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0" xfId="0" applyFont="1" applyAlignment="1">
      <alignment/>
    </xf>
    <xf numFmtId="1" fontId="8" fillId="0" borderId="9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1" fontId="6" fillId="0" borderId="36" xfId="0" applyNumberFormat="1" applyFont="1" applyFill="1" applyBorder="1" applyAlignment="1">
      <alignment/>
    </xf>
    <xf numFmtId="1" fontId="6" fillId="0" borderId="37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" fontId="6" fillId="0" borderId="4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6" fillId="0" borderId="6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22" fillId="0" borderId="31" xfId="0" applyNumberFormat="1" applyFont="1" applyFill="1" applyBorder="1" applyAlignment="1">
      <alignment/>
    </xf>
    <xf numFmtId="1" fontId="22" fillId="0" borderId="34" xfId="0" applyNumberFormat="1" applyFont="1" applyFill="1" applyBorder="1" applyAlignment="1">
      <alignment/>
    </xf>
    <xf numFmtId="1" fontId="12" fillId="0" borderId="6" xfId="0" applyNumberFormat="1" applyFont="1" applyFill="1" applyBorder="1" applyAlignment="1">
      <alignment/>
    </xf>
    <xf numFmtId="1" fontId="8" fillId="0" borderId="34" xfId="0" applyNumberFormat="1" applyFont="1" applyFill="1" applyBorder="1" applyAlignment="1">
      <alignment/>
    </xf>
    <xf numFmtId="14" fontId="6" fillId="0" borderId="1" xfId="0" applyNumberFormat="1" applyFont="1" applyFill="1" applyBorder="1" applyAlignment="1">
      <alignment horizontal="center"/>
    </xf>
    <xf numFmtId="14" fontId="6" fillId="0" borderId="48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4" fontId="2" fillId="0" borderId="48" xfId="0" applyNumberFormat="1" applyFont="1" applyFill="1" applyBorder="1" applyAlignment="1">
      <alignment horizontal="center"/>
    </xf>
    <xf numFmtId="0" fontId="5" fillId="0" borderId="0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1" u="none" baseline="0"/>
              <a:t>Město Blovice - rozpočtový výhled 2012-2015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375"/>
          <c:w val="1"/>
          <c:h val="0.8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2012_15'!$B$56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2012_15'!$C$54:$H$54</c:f>
              <c:strCache/>
            </c:strRef>
          </c:cat>
          <c:val>
            <c:numRef>
              <c:f>'výhled 2012_15'!$C$56:$H$56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'výhled 2012_15'!$B$57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2012_15'!$C$54:$H$54</c:f>
              <c:strCache/>
            </c:strRef>
          </c:cat>
          <c:val>
            <c:numRef>
              <c:f>'výhled 2012_15'!$C$57:$H$57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35185386"/>
        <c:axId val="48233019"/>
      </c:bar3D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/>
            </a:pPr>
          </a:p>
        </c:txPr>
        <c:crossAx val="48233019"/>
        <c:crosses val="autoZero"/>
        <c:auto val="1"/>
        <c:lblOffset val="100"/>
        <c:noMultiLvlLbl val="0"/>
      </c:catAx>
      <c:valAx>
        <c:axId val="4823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185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45"/>
          <c:y val="0.50725"/>
          <c:w val="0.2775"/>
          <c:h val="0.201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7</xdr:col>
      <xdr:colOff>571500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76800"/>
        <a:ext cx="5610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0.28125" style="0" customWidth="1"/>
    <col min="5" max="5" width="0.85546875" style="225" customWidth="1"/>
    <col min="6" max="6" width="0.9921875" style="225" customWidth="1"/>
    <col min="7" max="7" width="1.1484375" style="225" customWidth="1"/>
    <col min="8" max="8" width="1.28515625" style="225" customWidth="1"/>
    <col min="9" max="12" width="8.8515625" style="225" customWidth="1"/>
  </cols>
  <sheetData>
    <row r="1" spans="1:12" ht="18.75" thickBot="1">
      <c r="A1" s="1" t="s">
        <v>0</v>
      </c>
      <c r="B1" s="2"/>
      <c r="C1" s="2"/>
      <c r="D1" s="2"/>
      <c r="E1" s="245" t="s">
        <v>176</v>
      </c>
      <c r="F1" s="246"/>
      <c r="G1" s="245" t="s">
        <v>177</v>
      </c>
      <c r="H1" s="246"/>
      <c r="I1" s="245" t="s">
        <v>180</v>
      </c>
      <c r="J1" s="246"/>
      <c r="K1" s="243" t="s">
        <v>186</v>
      </c>
      <c r="L1" s="244"/>
    </row>
    <row r="2" spans="1:12" ht="13.5" thickBot="1">
      <c r="A2" s="3" t="s">
        <v>1</v>
      </c>
      <c r="B2" s="4" t="s">
        <v>2</v>
      </c>
      <c r="C2" s="4" t="s">
        <v>3</v>
      </c>
      <c r="D2" s="5" t="s">
        <v>4</v>
      </c>
      <c r="E2" s="165"/>
      <c r="F2" s="166" t="s">
        <v>5</v>
      </c>
      <c r="G2" s="165"/>
      <c r="H2" s="166" t="s">
        <v>5</v>
      </c>
      <c r="I2" s="165"/>
      <c r="J2" s="166" t="s">
        <v>5</v>
      </c>
      <c r="K2" s="165"/>
      <c r="L2" s="166" t="s">
        <v>5</v>
      </c>
    </row>
    <row r="3" spans="1:12" ht="12.75">
      <c r="A3" s="6" t="s">
        <v>6</v>
      </c>
      <c r="B3" s="7" t="s">
        <v>7</v>
      </c>
      <c r="C3" s="7">
        <v>1</v>
      </c>
      <c r="D3" s="8" t="s">
        <v>8</v>
      </c>
      <c r="E3" s="167">
        <f>10738.8+282+822</f>
        <v>11842.8</v>
      </c>
      <c r="F3" s="168"/>
      <c r="G3" s="167">
        <f>10738.8+282+822</f>
        <v>11842.8</v>
      </c>
      <c r="H3" s="168"/>
      <c r="I3" s="167">
        <f>10738.8+283+822+22</f>
        <v>11865.8</v>
      </c>
      <c r="J3" s="168"/>
      <c r="K3" s="235">
        <f>10738.8+283+822+22+864</f>
        <v>12729.8</v>
      </c>
      <c r="L3" s="168"/>
    </row>
    <row r="4" spans="1:12" ht="12.75">
      <c r="A4" s="9"/>
      <c r="B4" s="10"/>
      <c r="C4" s="10">
        <f aca="true" t="shared" si="0" ref="C4:C13">+C3+1</f>
        <v>2</v>
      </c>
      <c r="D4" s="11" t="s">
        <v>9</v>
      </c>
      <c r="E4" s="169">
        <f>838.5+710</f>
        <v>1548.5</v>
      </c>
      <c r="F4" s="170"/>
      <c r="G4" s="169">
        <f>838.5+710</f>
        <v>1548.5</v>
      </c>
      <c r="H4" s="170"/>
      <c r="I4" s="169">
        <f>838.5+710</f>
        <v>1548.5</v>
      </c>
      <c r="J4" s="170"/>
      <c r="K4" s="169">
        <f>838.5+710</f>
        <v>1548.5</v>
      </c>
      <c r="L4" s="170"/>
    </row>
    <row r="5" spans="1:12" ht="12.75">
      <c r="A5" s="9"/>
      <c r="B5" s="10"/>
      <c r="C5" s="10">
        <f t="shared" si="0"/>
        <v>3</v>
      </c>
      <c r="D5" s="11" t="s">
        <v>10</v>
      </c>
      <c r="E5" s="169">
        <f>5500+19000</f>
        <v>24500</v>
      </c>
      <c r="F5" s="171"/>
      <c r="G5" s="169">
        <f>5500+19000</f>
        <v>24500</v>
      </c>
      <c r="H5" s="171"/>
      <c r="I5" s="169">
        <f>5500+19000</f>
        <v>24500</v>
      </c>
      <c r="J5" s="171"/>
      <c r="K5" s="169">
        <f>5500+19000</f>
        <v>24500</v>
      </c>
      <c r="L5" s="171"/>
    </row>
    <row r="6" spans="1:12" ht="12.75">
      <c r="A6" s="12"/>
      <c r="B6" s="13"/>
      <c r="C6" s="10">
        <f t="shared" si="0"/>
        <v>4</v>
      </c>
      <c r="D6" s="14" t="s">
        <v>116</v>
      </c>
      <c r="E6" s="172">
        <v>212</v>
      </c>
      <c r="F6" s="173"/>
      <c r="G6" s="172">
        <v>212</v>
      </c>
      <c r="H6" s="173"/>
      <c r="I6" s="172">
        <v>212</v>
      </c>
      <c r="J6" s="173"/>
      <c r="K6" s="172">
        <v>212</v>
      </c>
      <c r="L6" s="173"/>
    </row>
    <row r="7" spans="1:12" ht="12.75">
      <c r="A7" s="12"/>
      <c r="B7" s="13"/>
      <c r="C7" s="10">
        <f t="shared" si="0"/>
        <v>5</v>
      </c>
      <c r="D7" s="11" t="s">
        <v>117</v>
      </c>
      <c r="E7" s="169">
        <f>1260+74</f>
        <v>1334</v>
      </c>
      <c r="F7" s="171"/>
      <c r="G7" s="169">
        <f>1260+74</f>
        <v>1334</v>
      </c>
      <c r="H7" s="171"/>
      <c r="I7" s="169">
        <f>1260+74-134</f>
        <v>1200</v>
      </c>
      <c r="J7" s="171"/>
      <c r="K7" s="169">
        <f>1260+74-134</f>
        <v>1200</v>
      </c>
      <c r="L7" s="171"/>
    </row>
    <row r="8" spans="1:12" ht="12.75">
      <c r="A8" s="12"/>
      <c r="B8" s="13"/>
      <c r="C8" s="10">
        <f t="shared" si="0"/>
        <v>6</v>
      </c>
      <c r="D8" s="11" t="s">
        <v>11</v>
      </c>
      <c r="E8" s="169">
        <v>456</v>
      </c>
      <c r="F8" s="171"/>
      <c r="G8" s="169">
        <v>456</v>
      </c>
      <c r="H8" s="171"/>
      <c r="I8" s="169">
        <v>456</v>
      </c>
      <c r="J8" s="171"/>
      <c r="K8" s="169">
        <v>456</v>
      </c>
      <c r="L8" s="171"/>
    </row>
    <row r="9" spans="1:12" ht="12.75">
      <c r="A9" s="12"/>
      <c r="B9" s="13"/>
      <c r="C9" s="10">
        <f t="shared" si="0"/>
        <v>7</v>
      </c>
      <c r="D9" s="11" t="s">
        <v>123</v>
      </c>
      <c r="E9" s="169">
        <v>382</v>
      </c>
      <c r="F9" s="171"/>
      <c r="G9" s="169">
        <v>382</v>
      </c>
      <c r="H9" s="171"/>
      <c r="I9" s="169">
        <v>266</v>
      </c>
      <c r="J9" s="171"/>
      <c r="K9" s="169">
        <v>266</v>
      </c>
      <c r="L9" s="171"/>
    </row>
    <row r="10" spans="1:12" ht="12.75">
      <c r="A10" s="12"/>
      <c r="B10" s="13"/>
      <c r="C10" s="10">
        <f t="shared" si="0"/>
        <v>8</v>
      </c>
      <c r="D10" s="11" t="s">
        <v>80</v>
      </c>
      <c r="E10" s="169"/>
      <c r="F10" s="171"/>
      <c r="G10" s="169"/>
      <c r="H10" s="171"/>
      <c r="I10" s="169"/>
      <c r="J10" s="171"/>
      <c r="K10" s="226"/>
      <c r="L10" s="171"/>
    </row>
    <row r="11" spans="1:12" ht="12.75">
      <c r="A11" s="12"/>
      <c r="B11" s="13"/>
      <c r="C11" s="10">
        <f t="shared" si="0"/>
        <v>9</v>
      </c>
      <c r="D11" s="20" t="s">
        <v>12</v>
      </c>
      <c r="E11" s="169">
        <v>328</v>
      </c>
      <c r="F11" s="171"/>
      <c r="G11" s="169">
        <v>328</v>
      </c>
      <c r="H11" s="171"/>
      <c r="I11" s="169">
        <v>328</v>
      </c>
      <c r="J11" s="171"/>
      <c r="K11" s="169">
        <v>328</v>
      </c>
      <c r="L11" s="171"/>
    </row>
    <row r="12" spans="1:12" ht="12.75">
      <c r="A12" s="12"/>
      <c r="B12" s="13"/>
      <c r="C12" s="10">
        <f t="shared" si="0"/>
        <v>10</v>
      </c>
      <c r="D12" s="57" t="s">
        <v>125</v>
      </c>
      <c r="E12" s="169"/>
      <c r="F12" s="171"/>
      <c r="G12" s="169"/>
      <c r="H12" s="171"/>
      <c r="I12" s="169">
        <f>42+358</f>
        <v>400</v>
      </c>
      <c r="J12" s="171"/>
      <c r="K12" s="169">
        <f>42+358</f>
        <v>400</v>
      </c>
      <c r="L12" s="171"/>
    </row>
    <row r="13" spans="1:12" ht="12.75">
      <c r="A13" s="12"/>
      <c r="B13" s="13"/>
      <c r="C13" s="10">
        <f t="shared" si="0"/>
        <v>11</v>
      </c>
      <c r="D13" s="14" t="s">
        <v>126</v>
      </c>
      <c r="E13" s="174">
        <v>0</v>
      </c>
      <c r="F13" s="171"/>
      <c r="G13" s="174">
        <v>100</v>
      </c>
      <c r="H13" s="171"/>
      <c r="I13" s="174">
        <f>170+1388</f>
        <v>1558</v>
      </c>
      <c r="J13" s="171"/>
      <c r="K13" s="234">
        <f>100+1388+70+2+66+90</f>
        <v>1716</v>
      </c>
      <c r="L13" s="171"/>
    </row>
    <row r="14" spans="1:12" ht="13.5" thickBot="1">
      <c r="A14" s="15"/>
      <c r="B14" s="16"/>
      <c r="C14" s="16"/>
      <c r="D14" s="17" t="s">
        <v>5</v>
      </c>
      <c r="E14" s="175"/>
      <c r="F14" s="176">
        <f>SUM(E3:E13)</f>
        <v>40603.3</v>
      </c>
      <c r="G14" s="175"/>
      <c r="H14" s="176">
        <f>SUM(G3:G13)</f>
        <v>40703.3</v>
      </c>
      <c r="I14" s="175"/>
      <c r="J14" s="176">
        <f>SUM(I3:I13)</f>
        <v>42334.3</v>
      </c>
      <c r="K14" s="175"/>
      <c r="L14" s="242">
        <f>SUM(K3:K13)</f>
        <v>43356.3</v>
      </c>
    </row>
    <row r="15" spans="1:12" ht="12.75">
      <c r="A15" s="18" t="s">
        <v>13</v>
      </c>
      <c r="B15" s="19" t="s">
        <v>14</v>
      </c>
      <c r="C15" s="19">
        <v>1</v>
      </c>
      <c r="D15" s="20" t="s">
        <v>15</v>
      </c>
      <c r="E15" s="177">
        <v>2600</v>
      </c>
      <c r="F15" s="178"/>
      <c r="G15" s="177">
        <v>2600</v>
      </c>
      <c r="H15" s="178"/>
      <c r="I15" s="177">
        <v>2600</v>
      </c>
      <c r="J15" s="178"/>
      <c r="K15" s="177">
        <v>2600</v>
      </c>
      <c r="L15" s="178"/>
    </row>
    <row r="16" spans="1:12" ht="12.75">
      <c r="A16" s="9"/>
      <c r="B16" s="10"/>
      <c r="C16" s="10">
        <v>2</v>
      </c>
      <c r="D16" s="11" t="s">
        <v>16</v>
      </c>
      <c r="E16" s="169">
        <v>29500</v>
      </c>
      <c r="F16" s="171"/>
      <c r="G16" s="169">
        <v>29500</v>
      </c>
      <c r="H16" s="171"/>
      <c r="I16" s="169">
        <v>29500</v>
      </c>
      <c r="J16" s="171"/>
      <c r="K16" s="169">
        <v>29500</v>
      </c>
      <c r="L16" s="171"/>
    </row>
    <row r="17" spans="1:12" ht="12.75">
      <c r="A17" s="9"/>
      <c r="B17" s="10"/>
      <c r="C17" s="10">
        <v>3</v>
      </c>
      <c r="D17" s="11" t="s">
        <v>17</v>
      </c>
      <c r="E17" s="174">
        <v>1300</v>
      </c>
      <c r="F17" s="171"/>
      <c r="G17" s="174">
        <v>910</v>
      </c>
      <c r="H17" s="171"/>
      <c r="I17" s="174">
        <v>910</v>
      </c>
      <c r="J17" s="171"/>
      <c r="K17" s="174">
        <v>910</v>
      </c>
      <c r="L17" s="171"/>
    </row>
    <row r="18" spans="1:12" ht="13.5" thickBot="1">
      <c r="A18" s="15"/>
      <c r="B18" s="16"/>
      <c r="C18" s="16"/>
      <c r="D18" s="17" t="s">
        <v>18</v>
      </c>
      <c r="E18" s="175"/>
      <c r="F18" s="176">
        <f>SUM(E15:E17)</f>
        <v>33400</v>
      </c>
      <c r="G18" s="175"/>
      <c r="H18" s="176">
        <f>SUM(G15:G17)</f>
        <v>33010</v>
      </c>
      <c r="I18" s="175"/>
      <c r="J18" s="176">
        <f>SUM(I15:I17)</f>
        <v>33010</v>
      </c>
      <c r="K18" s="175"/>
      <c r="L18" s="176">
        <f>SUM(K15:K17)</f>
        <v>33010</v>
      </c>
    </row>
    <row r="19" spans="1:12" ht="12.75">
      <c r="A19" s="9" t="s">
        <v>19</v>
      </c>
      <c r="B19" s="19" t="s">
        <v>20</v>
      </c>
      <c r="C19" s="10">
        <v>1</v>
      </c>
      <c r="D19" s="11" t="s">
        <v>21</v>
      </c>
      <c r="E19" s="174">
        <v>1200</v>
      </c>
      <c r="F19" s="171"/>
      <c r="G19" s="174">
        <v>1200</v>
      </c>
      <c r="H19" s="171"/>
      <c r="I19" s="174">
        <v>1200</v>
      </c>
      <c r="J19" s="171"/>
      <c r="K19" s="174">
        <v>1200</v>
      </c>
      <c r="L19" s="171"/>
    </row>
    <row r="20" spans="1:12" ht="12.75">
      <c r="A20" s="9"/>
      <c r="B20" s="10"/>
      <c r="C20" s="10">
        <f aca="true" t="shared" si="1" ref="C20:C29">+C19+1</f>
        <v>2</v>
      </c>
      <c r="D20" s="11" t="s">
        <v>22</v>
      </c>
      <c r="E20" s="174">
        <v>280</v>
      </c>
      <c r="F20" s="171"/>
      <c r="G20" s="174">
        <v>280</v>
      </c>
      <c r="H20" s="171"/>
      <c r="I20" s="174">
        <v>280</v>
      </c>
      <c r="J20" s="171"/>
      <c r="K20" s="174">
        <v>280</v>
      </c>
      <c r="L20" s="171"/>
    </row>
    <row r="21" spans="1:12" ht="12.75">
      <c r="A21" s="9"/>
      <c r="B21" s="10"/>
      <c r="C21" s="10">
        <f t="shared" si="1"/>
        <v>3</v>
      </c>
      <c r="D21" s="11" t="s">
        <v>23</v>
      </c>
      <c r="E21" s="174">
        <v>130</v>
      </c>
      <c r="F21" s="171"/>
      <c r="G21" s="174">
        <v>130</v>
      </c>
      <c r="H21" s="171"/>
      <c r="I21" s="174">
        <v>130</v>
      </c>
      <c r="J21" s="171"/>
      <c r="K21" s="174">
        <v>130</v>
      </c>
      <c r="L21" s="171"/>
    </row>
    <row r="22" spans="1:12" ht="12.75">
      <c r="A22" s="9"/>
      <c r="B22" s="10"/>
      <c r="C22" s="10">
        <f t="shared" si="1"/>
        <v>4</v>
      </c>
      <c r="D22" s="11" t="s">
        <v>24</v>
      </c>
      <c r="E22" s="174">
        <v>240</v>
      </c>
      <c r="F22" s="171"/>
      <c r="G22" s="174">
        <v>240</v>
      </c>
      <c r="H22" s="171"/>
      <c r="I22" s="174">
        <v>240</v>
      </c>
      <c r="J22" s="171"/>
      <c r="K22" s="174">
        <v>240</v>
      </c>
      <c r="L22" s="171"/>
    </row>
    <row r="23" spans="1:12" ht="12.75">
      <c r="A23" s="9"/>
      <c r="B23" s="10"/>
      <c r="C23" s="10">
        <f t="shared" si="1"/>
        <v>5</v>
      </c>
      <c r="D23" s="11" t="s">
        <v>25</v>
      </c>
      <c r="E23" s="174">
        <v>220</v>
      </c>
      <c r="F23" s="171"/>
      <c r="G23" s="174">
        <v>220</v>
      </c>
      <c r="H23" s="171"/>
      <c r="I23" s="174">
        <v>220</v>
      </c>
      <c r="J23" s="171"/>
      <c r="K23" s="174">
        <v>220</v>
      </c>
      <c r="L23" s="171"/>
    </row>
    <row r="24" spans="1:12" ht="12.75">
      <c r="A24" s="9"/>
      <c r="B24" s="10" t="s">
        <v>26</v>
      </c>
      <c r="C24" s="10">
        <f t="shared" si="1"/>
        <v>6</v>
      </c>
      <c r="D24" s="11" t="s">
        <v>27</v>
      </c>
      <c r="E24" s="174">
        <v>1400</v>
      </c>
      <c r="F24" s="171"/>
      <c r="G24" s="174">
        <v>1400</v>
      </c>
      <c r="H24" s="171"/>
      <c r="I24" s="174">
        <v>1400</v>
      </c>
      <c r="J24" s="171"/>
      <c r="K24" s="174">
        <v>1400</v>
      </c>
      <c r="L24" s="171"/>
    </row>
    <row r="25" spans="1:12" ht="12.75">
      <c r="A25" s="9"/>
      <c r="B25" s="10" t="s">
        <v>28</v>
      </c>
      <c r="C25" s="10">
        <f t="shared" si="1"/>
        <v>7</v>
      </c>
      <c r="D25" s="11" t="s">
        <v>29</v>
      </c>
      <c r="E25" s="174">
        <v>112</v>
      </c>
      <c r="F25" s="171"/>
      <c r="G25" s="174">
        <v>112</v>
      </c>
      <c r="H25" s="171"/>
      <c r="I25" s="174">
        <v>112</v>
      </c>
      <c r="J25" s="171"/>
      <c r="K25" s="174">
        <v>112</v>
      </c>
      <c r="L25" s="171"/>
    </row>
    <row r="26" spans="1:12" ht="12.75">
      <c r="A26" s="9"/>
      <c r="B26" s="10"/>
      <c r="C26" s="10">
        <f t="shared" si="1"/>
        <v>8</v>
      </c>
      <c r="D26" s="11" t="s">
        <v>30</v>
      </c>
      <c r="E26" s="174">
        <v>198</v>
      </c>
      <c r="F26" s="171"/>
      <c r="G26" s="174">
        <v>198</v>
      </c>
      <c r="H26" s="171"/>
      <c r="I26" s="174">
        <v>198</v>
      </c>
      <c r="J26" s="171"/>
      <c r="K26" s="174">
        <v>198</v>
      </c>
      <c r="L26" s="171"/>
    </row>
    <row r="27" spans="1:12" ht="12.75">
      <c r="A27" s="9"/>
      <c r="B27" s="10"/>
      <c r="C27" s="10">
        <f t="shared" si="1"/>
        <v>9</v>
      </c>
      <c r="D27" s="11" t="s">
        <v>31</v>
      </c>
      <c r="E27" s="174">
        <v>60</v>
      </c>
      <c r="F27" s="171"/>
      <c r="G27" s="174">
        <v>60</v>
      </c>
      <c r="H27" s="171"/>
      <c r="I27" s="174">
        <v>60</v>
      </c>
      <c r="J27" s="171"/>
      <c r="K27" s="174">
        <v>60</v>
      </c>
      <c r="L27" s="171"/>
    </row>
    <row r="28" spans="1:12" ht="12.75">
      <c r="A28" s="12"/>
      <c r="B28" s="13"/>
      <c r="C28" s="10">
        <f t="shared" si="1"/>
        <v>10</v>
      </c>
      <c r="D28" s="14" t="s">
        <v>32</v>
      </c>
      <c r="E28" s="179">
        <v>2115</v>
      </c>
      <c r="F28" s="180"/>
      <c r="G28" s="179">
        <v>2115</v>
      </c>
      <c r="H28" s="180"/>
      <c r="I28" s="179">
        <v>2115</v>
      </c>
      <c r="J28" s="180"/>
      <c r="K28" s="179">
        <v>2115</v>
      </c>
      <c r="L28" s="180"/>
    </row>
    <row r="29" spans="1:12" ht="12.75">
      <c r="A29" s="12"/>
      <c r="B29" s="13" t="s">
        <v>33</v>
      </c>
      <c r="C29" s="10">
        <f t="shared" si="1"/>
        <v>11</v>
      </c>
      <c r="D29" s="14" t="s">
        <v>34</v>
      </c>
      <c r="E29" s="179">
        <v>200</v>
      </c>
      <c r="F29" s="180"/>
      <c r="G29" s="179">
        <v>200</v>
      </c>
      <c r="H29" s="180"/>
      <c r="I29" s="179">
        <v>200</v>
      </c>
      <c r="J29" s="180"/>
      <c r="K29" s="179">
        <v>200</v>
      </c>
      <c r="L29" s="180"/>
    </row>
    <row r="30" spans="1:12" ht="13.5" thickBot="1">
      <c r="A30" s="15"/>
      <c r="B30" s="16"/>
      <c r="C30" s="16"/>
      <c r="D30" s="17" t="s">
        <v>18</v>
      </c>
      <c r="E30" s="175"/>
      <c r="F30" s="181">
        <f>SUM(E19:E29)</f>
        <v>6155</v>
      </c>
      <c r="G30" s="175"/>
      <c r="H30" s="181">
        <f>SUM(G19:G29)</f>
        <v>6155</v>
      </c>
      <c r="I30" s="175"/>
      <c r="J30" s="181">
        <f>SUM(I19:I29)</f>
        <v>6155</v>
      </c>
      <c r="K30" s="175"/>
      <c r="L30" s="181">
        <f>SUM(K19:K29)</f>
        <v>6155</v>
      </c>
    </row>
    <row r="31" spans="1:12" ht="12.75">
      <c r="A31" s="6" t="s">
        <v>35</v>
      </c>
      <c r="B31" s="7" t="s">
        <v>36</v>
      </c>
      <c r="C31" s="7">
        <v>1</v>
      </c>
      <c r="D31" s="8" t="s">
        <v>121</v>
      </c>
      <c r="E31" s="182">
        <v>100</v>
      </c>
      <c r="F31" s="168"/>
      <c r="G31" s="182">
        <v>100</v>
      </c>
      <c r="H31" s="168"/>
      <c r="I31" s="182">
        <f>150+100+40</f>
        <v>290</v>
      </c>
      <c r="J31" s="168"/>
      <c r="K31" s="182">
        <f>150+100+40</f>
        <v>290</v>
      </c>
      <c r="L31" s="168"/>
    </row>
    <row r="32" spans="1:12" ht="12.75">
      <c r="A32" s="9"/>
      <c r="B32" s="10" t="s">
        <v>37</v>
      </c>
      <c r="C32" s="10">
        <v>2</v>
      </c>
      <c r="D32" s="11" t="s">
        <v>38</v>
      </c>
      <c r="E32" s="174">
        <v>6210</v>
      </c>
      <c r="F32" s="171"/>
      <c r="G32" s="174">
        <v>6210</v>
      </c>
      <c r="H32" s="171"/>
      <c r="I32" s="174">
        <v>6015</v>
      </c>
      <c r="J32" s="171"/>
      <c r="K32" s="174">
        <v>6015</v>
      </c>
      <c r="L32" s="171"/>
    </row>
    <row r="33" spans="1:12" ht="12.75">
      <c r="A33" s="9"/>
      <c r="B33" s="21"/>
      <c r="C33" s="10">
        <v>3</v>
      </c>
      <c r="D33" s="11" t="s">
        <v>122</v>
      </c>
      <c r="E33" s="174">
        <v>625</v>
      </c>
      <c r="F33" s="171"/>
      <c r="G33" s="174">
        <v>625</v>
      </c>
      <c r="H33" s="171"/>
      <c r="I33" s="174">
        <v>625</v>
      </c>
      <c r="J33" s="171"/>
      <c r="K33" s="174">
        <v>625</v>
      </c>
      <c r="L33" s="171"/>
    </row>
    <row r="34" spans="1:12" ht="12.75">
      <c r="A34" s="12"/>
      <c r="B34" s="13"/>
      <c r="C34" s="19">
        <v>4</v>
      </c>
      <c r="D34" s="14" t="s">
        <v>39</v>
      </c>
      <c r="E34" s="179">
        <f>24*12</f>
        <v>288</v>
      </c>
      <c r="F34" s="180"/>
      <c r="G34" s="179">
        <f>24*12</f>
        <v>288</v>
      </c>
      <c r="H34" s="180"/>
      <c r="I34" s="179">
        <f>24*12</f>
        <v>288</v>
      </c>
      <c r="J34" s="180"/>
      <c r="K34" s="179">
        <f>24*12</f>
        <v>288</v>
      </c>
      <c r="L34" s="180"/>
    </row>
    <row r="35" spans="1:12" ht="13.5" thickBot="1">
      <c r="A35" s="15"/>
      <c r="B35" s="16"/>
      <c r="C35" s="16"/>
      <c r="D35" s="17" t="s">
        <v>18</v>
      </c>
      <c r="E35" s="175"/>
      <c r="F35" s="181">
        <f>SUM(E31:E34)</f>
        <v>7223</v>
      </c>
      <c r="G35" s="175"/>
      <c r="H35" s="181">
        <f>SUM(G31:G34)</f>
        <v>7223</v>
      </c>
      <c r="I35" s="175"/>
      <c r="J35" s="181">
        <f>SUM(I31:I34)</f>
        <v>7218</v>
      </c>
      <c r="K35" s="175"/>
      <c r="L35" s="181">
        <f>SUM(K31:K34)</f>
        <v>7218</v>
      </c>
    </row>
    <row r="36" spans="1:12" ht="12.75">
      <c r="A36" s="6" t="s">
        <v>40</v>
      </c>
      <c r="B36" s="22" t="s">
        <v>41</v>
      </c>
      <c r="C36" s="22">
        <v>1</v>
      </c>
      <c r="D36" s="8" t="s">
        <v>42</v>
      </c>
      <c r="E36" s="182">
        <v>134</v>
      </c>
      <c r="F36" s="168"/>
      <c r="G36" s="182">
        <v>134</v>
      </c>
      <c r="H36" s="168"/>
      <c r="I36" s="182">
        <v>134</v>
      </c>
      <c r="J36" s="168"/>
      <c r="K36" s="182">
        <v>134</v>
      </c>
      <c r="L36" s="168"/>
    </row>
    <row r="37" spans="1:12" ht="12.75">
      <c r="A37" s="18"/>
      <c r="B37" s="23"/>
      <c r="C37" s="23">
        <v>2</v>
      </c>
      <c r="D37" s="20" t="s">
        <v>43</v>
      </c>
      <c r="E37" s="177">
        <v>300</v>
      </c>
      <c r="F37" s="178"/>
      <c r="G37" s="177">
        <v>300</v>
      </c>
      <c r="H37" s="178"/>
      <c r="I37" s="177">
        <v>300</v>
      </c>
      <c r="J37" s="178"/>
      <c r="K37" s="177">
        <v>300</v>
      </c>
      <c r="L37" s="178"/>
    </row>
    <row r="38" spans="1:12" ht="12.75">
      <c r="A38" s="9"/>
      <c r="B38" s="24"/>
      <c r="C38" s="24">
        <v>3</v>
      </c>
      <c r="D38" s="11" t="s">
        <v>44</v>
      </c>
      <c r="E38" s="174">
        <v>446</v>
      </c>
      <c r="F38" s="171"/>
      <c r="G38" s="174">
        <v>446</v>
      </c>
      <c r="H38" s="171"/>
      <c r="I38" s="174">
        <v>446</v>
      </c>
      <c r="J38" s="171"/>
      <c r="K38" s="174">
        <v>446</v>
      </c>
      <c r="L38" s="171"/>
    </row>
    <row r="39" spans="1:12" ht="12.75">
      <c r="A39" s="12"/>
      <c r="B39" s="25"/>
      <c r="C39" s="25">
        <v>4</v>
      </c>
      <c r="D39" s="14" t="s">
        <v>45</v>
      </c>
      <c r="E39" s="183">
        <v>225</v>
      </c>
      <c r="F39" s="180"/>
      <c r="G39" s="183">
        <v>225</v>
      </c>
      <c r="H39" s="180"/>
      <c r="I39" s="183">
        <v>225</v>
      </c>
      <c r="J39" s="180"/>
      <c r="K39" s="183">
        <v>225</v>
      </c>
      <c r="L39" s="180"/>
    </row>
    <row r="40" spans="1:12" ht="13.5" thickBot="1">
      <c r="A40" s="15"/>
      <c r="B40" s="26"/>
      <c r="C40" s="26"/>
      <c r="D40" s="17" t="s">
        <v>18</v>
      </c>
      <c r="E40" s="175"/>
      <c r="F40" s="181">
        <f>SUM(E36:E39)</f>
        <v>1105</v>
      </c>
      <c r="G40" s="175"/>
      <c r="H40" s="181">
        <f>SUM(G36:G39)</f>
        <v>1105</v>
      </c>
      <c r="I40" s="175"/>
      <c r="J40" s="181">
        <f>SUM(I36:I39)</f>
        <v>1105</v>
      </c>
      <c r="K40" s="175"/>
      <c r="L40" s="181">
        <f>SUM(K36:K39)</f>
        <v>1105</v>
      </c>
    </row>
    <row r="41" spans="1:12" ht="13.5" thickBot="1">
      <c r="A41" s="27" t="s">
        <v>46</v>
      </c>
      <c r="B41" s="28" t="s">
        <v>47</v>
      </c>
      <c r="C41" s="28"/>
      <c r="D41" s="29"/>
      <c r="E41" s="184">
        <v>1100</v>
      </c>
      <c r="F41" s="185">
        <f>SUM(E41)</f>
        <v>1100</v>
      </c>
      <c r="G41" s="184">
        <v>1100</v>
      </c>
      <c r="H41" s="185">
        <f>SUM(G41)</f>
        <v>1100</v>
      </c>
      <c r="I41" s="184">
        <v>1100</v>
      </c>
      <c r="J41" s="185">
        <f>SUM(I41)</f>
        <v>1100</v>
      </c>
      <c r="K41" s="184">
        <v>1100</v>
      </c>
      <c r="L41" s="185">
        <f>SUM(K41)</f>
        <v>1100</v>
      </c>
    </row>
    <row r="42" spans="1:12" ht="13.5" thickBot="1">
      <c r="A42" s="27" t="s">
        <v>48</v>
      </c>
      <c r="B42" s="28" t="s">
        <v>49</v>
      </c>
      <c r="C42" s="28"/>
      <c r="D42" s="29"/>
      <c r="E42" s="184">
        <v>500</v>
      </c>
      <c r="F42" s="185">
        <f>SUM(E42)</f>
        <v>500</v>
      </c>
      <c r="G42" s="184">
        <v>500</v>
      </c>
      <c r="H42" s="185">
        <f>SUM(G42)</f>
        <v>500</v>
      </c>
      <c r="I42" s="184">
        <v>500</v>
      </c>
      <c r="J42" s="185">
        <f>SUM(I42)</f>
        <v>500</v>
      </c>
      <c r="K42" s="184">
        <v>500</v>
      </c>
      <c r="L42" s="185">
        <f>SUM(K42)</f>
        <v>500</v>
      </c>
    </row>
    <row r="43" spans="1:12" ht="12.75">
      <c r="A43" s="18" t="s">
        <v>50</v>
      </c>
      <c r="B43" s="23" t="s">
        <v>51</v>
      </c>
      <c r="C43" s="23">
        <v>1</v>
      </c>
      <c r="D43" s="20" t="s">
        <v>52</v>
      </c>
      <c r="E43" s="177">
        <f>490+70</f>
        <v>560</v>
      </c>
      <c r="F43" s="178"/>
      <c r="G43" s="177">
        <f>490+70</f>
        <v>560</v>
      </c>
      <c r="H43" s="178"/>
      <c r="I43" s="177">
        <f>514+46</f>
        <v>560</v>
      </c>
      <c r="J43" s="178"/>
      <c r="K43" s="177">
        <f>514+46</f>
        <v>560</v>
      </c>
      <c r="L43" s="178"/>
    </row>
    <row r="44" spans="1:12" ht="12.75">
      <c r="A44" s="18"/>
      <c r="B44" s="23"/>
      <c r="C44" s="23">
        <f>+C43+1</f>
        <v>2</v>
      </c>
      <c r="D44" s="20" t="s">
        <v>53</v>
      </c>
      <c r="E44" s="177">
        <v>1000</v>
      </c>
      <c r="F44" s="178"/>
      <c r="G44" s="177">
        <v>1000</v>
      </c>
      <c r="H44" s="178"/>
      <c r="I44" s="177">
        <v>1000</v>
      </c>
      <c r="J44" s="178"/>
      <c r="K44" s="177">
        <v>1000</v>
      </c>
      <c r="L44" s="178"/>
    </row>
    <row r="45" spans="1:12" ht="12.75">
      <c r="A45" s="18"/>
      <c r="B45" s="23"/>
      <c r="C45" s="23">
        <f>+C44+1</f>
        <v>3</v>
      </c>
      <c r="D45" s="20" t="s">
        <v>54</v>
      </c>
      <c r="E45" s="177">
        <v>440</v>
      </c>
      <c r="F45" s="178"/>
      <c r="G45" s="177">
        <v>440</v>
      </c>
      <c r="H45" s="178"/>
      <c r="I45" s="177">
        <v>440</v>
      </c>
      <c r="J45" s="178"/>
      <c r="K45" s="177">
        <v>440</v>
      </c>
      <c r="L45" s="178"/>
    </row>
    <row r="46" spans="1:12" ht="12.75">
      <c r="A46" s="18"/>
      <c r="B46" s="23"/>
      <c r="C46" s="23">
        <f>+C45+1</f>
        <v>4</v>
      </c>
      <c r="D46" s="11" t="s">
        <v>55</v>
      </c>
      <c r="E46" s="174">
        <f>570</f>
        <v>570</v>
      </c>
      <c r="F46" s="178"/>
      <c r="G46" s="174">
        <v>600</v>
      </c>
      <c r="H46" s="178"/>
      <c r="I46" s="174">
        <v>600</v>
      </c>
      <c r="J46" s="178"/>
      <c r="K46" s="174">
        <v>600</v>
      </c>
      <c r="L46" s="178"/>
    </row>
    <row r="47" spans="1:12" ht="13.5" thickBot="1">
      <c r="A47" s="15"/>
      <c r="B47" s="26"/>
      <c r="C47" s="26"/>
      <c r="D47" s="17" t="s">
        <v>18</v>
      </c>
      <c r="E47" s="175"/>
      <c r="F47" s="181">
        <f>SUM(E43:E46)</f>
        <v>2570</v>
      </c>
      <c r="G47" s="175"/>
      <c r="H47" s="181">
        <f>SUM(G43:G46)</f>
        <v>2600</v>
      </c>
      <c r="I47" s="175"/>
      <c r="J47" s="181">
        <f>SUM(I43:I46)</f>
        <v>2600</v>
      </c>
      <c r="K47" s="175"/>
      <c r="L47" s="181">
        <f>SUM(K43:K46)</f>
        <v>2600</v>
      </c>
    </row>
    <row r="48" spans="1:12" ht="13.5" thickBot="1">
      <c r="A48" s="32" t="s">
        <v>56</v>
      </c>
      <c r="B48" s="28" t="s">
        <v>57</v>
      </c>
      <c r="C48" s="28"/>
      <c r="D48" s="29"/>
      <c r="E48" s="186">
        <v>608</v>
      </c>
      <c r="F48" s="185">
        <f>SUM(E48)</f>
        <v>608</v>
      </c>
      <c r="G48" s="186">
        <v>608</v>
      </c>
      <c r="H48" s="185">
        <f>SUM(G48)</f>
        <v>608</v>
      </c>
      <c r="I48" s="186">
        <v>608</v>
      </c>
      <c r="J48" s="185">
        <f>SUM(I48)</f>
        <v>608</v>
      </c>
      <c r="K48" s="186">
        <v>608</v>
      </c>
      <c r="L48" s="185">
        <f>SUM(K48)</f>
        <v>608</v>
      </c>
    </row>
    <row r="49" spans="1:12" ht="12.75">
      <c r="A49" s="33"/>
      <c r="B49" s="22" t="s">
        <v>58</v>
      </c>
      <c r="C49" s="22"/>
      <c r="D49" s="8"/>
      <c r="E49" s="182"/>
      <c r="F49" s="187">
        <f>SUM(F3:F48)</f>
        <v>93264.3</v>
      </c>
      <c r="G49" s="182"/>
      <c r="H49" s="187">
        <f>SUM(H3:H48)</f>
        <v>93004.3</v>
      </c>
      <c r="I49" s="182"/>
      <c r="J49" s="187">
        <f>SUM(J3:J48)</f>
        <v>94630.3</v>
      </c>
      <c r="K49" s="182"/>
      <c r="L49" s="239">
        <f>SUM(L3:L48)</f>
        <v>95652.3</v>
      </c>
    </row>
    <row r="50" spans="1:12" ht="13.5" thickBot="1">
      <c r="A50" s="34"/>
      <c r="B50" s="26" t="s">
        <v>59</v>
      </c>
      <c r="C50" s="26"/>
      <c r="D50" s="17"/>
      <c r="E50" s="175"/>
      <c r="F50" s="188">
        <f>+F49-608</f>
        <v>92656.3</v>
      </c>
      <c r="G50" s="175"/>
      <c r="H50" s="188">
        <f>+H49-608</f>
        <v>92396.3</v>
      </c>
      <c r="I50" s="175"/>
      <c r="J50" s="188">
        <f>+J49-608</f>
        <v>94022.3</v>
      </c>
      <c r="K50" s="175"/>
      <c r="L50" s="240">
        <f>+L49-608</f>
        <v>95044.3</v>
      </c>
    </row>
    <row r="51" spans="1:12" ht="18.75" thickBot="1">
      <c r="A51" s="1" t="s">
        <v>60</v>
      </c>
      <c r="B51" s="35"/>
      <c r="C51" s="35"/>
      <c r="D51" s="35"/>
      <c r="E51" s="245" t="s">
        <v>176</v>
      </c>
      <c r="F51" s="246"/>
      <c r="G51" s="245" t="s">
        <v>177</v>
      </c>
      <c r="H51" s="246"/>
      <c r="I51" s="245" t="s">
        <v>180</v>
      </c>
      <c r="J51" s="246"/>
      <c r="K51" s="243" t="s">
        <v>186</v>
      </c>
      <c r="L51" s="244"/>
    </row>
    <row r="52" spans="1:12" ht="13.5" thickBot="1">
      <c r="A52" s="36" t="s">
        <v>1</v>
      </c>
      <c r="B52" s="37" t="s">
        <v>2</v>
      </c>
      <c r="C52" s="37" t="s">
        <v>3</v>
      </c>
      <c r="D52" s="38" t="s">
        <v>4</v>
      </c>
      <c r="E52" s="189"/>
      <c r="F52" s="190" t="s">
        <v>5</v>
      </c>
      <c r="G52" s="189"/>
      <c r="H52" s="190" t="s">
        <v>5</v>
      </c>
      <c r="I52" s="189"/>
      <c r="J52" s="190" t="s">
        <v>5</v>
      </c>
      <c r="K52" s="189"/>
      <c r="L52" s="190" t="s">
        <v>5</v>
      </c>
    </row>
    <row r="53" spans="1:12" ht="12.75">
      <c r="A53" s="6" t="s">
        <v>6</v>
      </c>
      <c r="B53" s="22" t="s">
        <v>61</v>
      </c>
      <c r="C53" s="22">
        <v>1</v>
      </c>
      <c r="D53" s="8" t="s">
        <v>62</v>
      </c>
      <c r="E53" s="191">
        <f>2600-130</f>
        <v>2470</v>
      </c>
      <c r="F53" s="192"/>
      <c r="G53" s="191">
        <f>2600-130</f>
        <v>2470</v>
      </c>
      <c r="H53" s="192"/>
      <c r="I53" s="191">
        <f>2600-130</f>
        <v>2470</v>
      </c>
      <c r="J53" s="192"/>
      <c r="K53" s="191">
        <f>2600-130</f>
        <v>2470</v>
      </c>
      <c r="L53" s="192"/>
    </row>
    <row r="54" spans="1:12" ht="12.75">
      <c r="A54" s="18"/>
      <c r="B54" s="23"/>
      <c r="C54" s="23">
        <v>2</v>
      </c>
      <c r="D54" s="20" t="s">
        <v>63</v>
      </c>
      <c r="E54" s="193">
        <f>277-14</f>
        <v>263</v>
      </c>
      <c r="F54" s="194"/>
      <c r="G54" s="193">
        <f>277-14</f>
        <v>263</v>
      </c>
      <c r="H54" s="194"/>
      <c r="I54" s="193">
        <f>277-14</f>
        <v>263</v>
      </c>
      <c r="J54" s="194"/>
      <c r="K54" s="193">
        <f>277-14</f>
        <v>263</v>
      </c>
      <c r="L54" s="194"/>
    </row>
    <row r="55" spans="1:12" ht="12.75">
      <c r="A55" s="9"/>
      <c r="B55" s="24"/>
      <c r="C55" s="23">
        <f aca="true" t="shared" si="2" ref="C55:C61">+C54+1</f>
        <v>3</v>
      </c>
      <c r="D55" s="11" t="s">
        <v>64</v>
      </c>
      <c r="E55" s="193">
        <v>570</v>
      </c>
      <c r="F55" s="194"/>
      <c r="G55" s="193">
        <v>570</v>
      </c>
      <c r="H55" s="194"/>
      <c r="I55" s="193">
        <v>570</v>
      </c>
      <c r="J55" s="194"/>
      <c r="K55" s="193">
        <v>570</v>
      </c>
      <c r="L55" s="194"/>
    </row>
    <row r="56" spans="1:12" ht="12.75">
      <c r="A56" s="9"/>
      <c r="B56" s="24"/>
      <c r="C56" s="23">
        <f t="shared" si="2"/>
        <v>4</v>
      </c>
      <c r="D56" s="11" t="s">
        <v>65</v>
      </c>
      <c r="E56" s="193">
        <f>90-5</f>
        <v>85</v>
      </c>
      <c r="F56" s="195"/>
      <c r="G56" s="193">
        <f>90-5</f>
        <v>85</v>
      </c>
      <c r="H56" s="195"/>
      <c r="I56" s="193">
        <f>90-5</f>
        <v>85</v>
      </c>
      <c r="J56" s="195"/>
      <c r="K56" s="193">
        <f>90-5</f>
        <v>85</v>
      </c>
      <c r="L56" s="195"/>
    </row>
    <row r="57" spans="1:12" ht="12.75">
      <c r="A57" s="9"/>
      <c r="B57" s="24"/>
      <c r="C57" s="23">
        <f t="shared" si="2"/>
        <v>5</v>
      </c>
      <c r="D57" s="11" t="s">
        <v>178</v>
      </c>
      <c r="E57" s="193"/>
      <c r="F57" s="195"/>
      <c r="G57" s="193"/>
      <c r="H57" s="195"/>
      <c r="I57" s="193">
        <v>1388</v>
      </c>
      <c r="J57" s="195"/>
      <c r="K57" s="193">
        <v>1388</v>
      </c>
      <c r="L57" s="195"/>
    </row>
    <row r="58" spans="1:12" ht="12.75">
      <c r="A58" s="9"/>
      <c r="B58" s="24"/>
      <c r="C58" s="23">
        <f t="shared" si="2"/>
        <v>6</v>
      </c>
      <c r="D58" s="11" t="s">
        <v>66</v>
      </c>
      <c r="E58" s="193">
        <f>340-18</f>
        <v>322</v>
      </c>
      <c r="F58" s="194"/>
      <c r="G58" s="193">
        <f>340-18</f>
        <v>322</v>
      </c>
      <c r="H58" s="194"/>
      <c r="I58" s="193">
        <f>340-18</f>
        <v>322</v>
      </c>
      <c r="J58" s="194"/>
      <c r="K58" s="193">
        <f>340-18</f>
        <v>322</v>
      </c>
      <c r="L58" s="194"/>
    </row>
    <row r="59" spans="1:12" ht="12.75">
      <c r="A59" s="9"/>
      <c r="B59" s="24"/>
      <c r="C59" s="23">
        <f t="shared" si="2"/>
        <v>7</v>
      </c>
      <c r="D59" s="11" t="s">
        <v>67</v>
      </c>
      <c r="E59" s="193">
        <f>350-17</f>
        <v>333</v>
      </c>
      <c r="F59" s="194"/>
      <c r="G59" s="193">
        <f>350-17</f>
        <v>333</v>
      </c>
      <c r="H59" s="194"/>
      <c r="I59" s="193">
        <f>350-17</f>
        <v>333</v>
      </c>
      <c r="J59" s="194"/>
      <c r="K59" s="193">
        <f>350-17</f>
        <v>333</v>
      </c>
      <c r="L59" s="194"/>
    </row>
    <row r="60" spans="1:12" ht="12.75">
      <c r="A60" s="9"/>
      <c r="B60" s="24"/>
      <c r="C60" s="23">
        <f t="shared" si="2"/>
        <v>8</v>
      </c>
      <c r="D60" s="11" t="s">
        <v>68</v>
      </c>
      <c r="E60" s="193">
        <v>830</v>
      </c>
      <c r="F60" s="194"/>
      <c r="G60" s="193">
        <v>830</v>
      </c>
      <c r="H60" s="194"/>
      <c r="I60" s="193">
        <v>830</v>
      </c>
      <c r="J60" s="194"/>
      <c r="K60" s="193">
        <v>830</v>
      </c>
      <c r="L60" s="194"/>
    </row>
    <row r="61" spans="1:12" ht="12.75">
      <c r="A61" s="12"/>
      <c r="B61" s="25"/>
      <c r="C61" s="23">
        <f t="shared" si="2"/>
        <v>9</v>
      </c>
      <c r="D61" s="14" t="s">
        <v>69</v>
      </c>
      <c r="E61" s="193">
        <v>190</v>
      </c>
      <c r="F61" s="194"/>
      <c r="G61" s="193">
        <v>190</v>
      </c>
      <c r="H61" s="194"/>
      <c r="I61" s="193">
        <v>190</v>
      </c>
      <c r="J61" s="194"/>
      <c r="K61" s="193">
        <v>190</v>
      </c>
      <c r="L61" s="194"/>
    </row>
    <row r="62" spans="1:12" ht="13.5" thickBot="1">
      <c r="A62" s="12"/>
      <c r="B62" s="25"/>
      <c r="C62" s="25"/>
      <c r="D62" s="14" t="s">
        <v>18</v>
      </c>
      <c r="E62" s="196"/>
      <c r="F62" s="197">
        <f>SUM(E53:E61)</f>
        <v>5063</v>
      </c>
      <c r="G62" s="196"/>
      <c r="H62" s="197">
        <f>SUM(G53:G61)</f>
        <v>5063</v>
      </c>
      <c r="I62" s="196"/>
      <c r="J62" s="197">
        <f>SUM(I53:I61)</f>
        <v>6451</v>
      </c>
      <c r="K62" s="196"/>
      <c r="L62" s="197">
        <f>SUM(K53:K61)</f>
        <v>6451</v>
      </c>
    </row>
    <row r="63" spans="1:12" ht="12.75">
      <c r="A63" s="6" t="s">
        <v>13</v>
      </c>
      <c r="B63" s="22" t="s">
        <v>70</v>
      </c>
      <c r="C63" s="22">
        <v>1</v>
      </c>
      <c r="D63" s="8" t="s">
        <v>71</v>
      </c>
      <c r="E63" s="191">
        <v>24686</v>
      </c>
      <c r="F63" s="198"/>
      <c r="G63" s="191">
        <v>24686</v>
      </c>
      <c r="H63" s="198"/>
      <c r="I63" s="191">
        <f>24686+22</f>
        <v>24708</v>
      </c>
      <c r="J63" s="198"/>
      <c r="K63" s="237">
        <f>24686+22+864</f>
        <v>25572</v>
      </c>
      <c r="L63" s="198"/>
    </row>
    <row r="64" spans="1:12" ht="12.75">
      <c r="A64" s="9"/>
      <c r="B64" s="24"/>
      <c r="C64" s="24">
        <v>2</v>
      </c>
      <c r="D64" s="11" t="s">
        <v>119</v>
      </c>
      <c r="E64" s="193">
        <v>820</v>
      </c>
      <c r="F64" s="199"/>
      <c r="G64" s="193">
        <v>820</v>
      </c>
      <c r="H64" s="199"/>
      <c r="I64" s="193">
        <v>820</v>
      </c>
      <c r="J64" s="199"/>
      <c r="K64" s="193">
        <v>820</v>
      </c>
      <c r="L64" s="199"/>
    </row>
    <row r="65" spans="1:12" ht="13.5" thickBot="1">
      <c r="A65" s="15"/>
      <c r="B65" s="26"/>
      <c r="C65" s="26"/>
      <c r="D65" s="17" t="s">
        <v>5</v>
      </c>
      <c r="E65" s="200"/>
      <c r="F65" s="201">
        <f>SUM(E63:E64)</f>
        <v>25506</v>
      </c>
      <c r="G65" s="200"/>
      <c r="H65" s="201">
        <f>SUM(G63:G64)</f>
        <v>25506</v>
      </c>
      <c r="I65" s="200"/>
      <c r="J65" s="201">
        <f>SUM(I63:I64)</f>
        <v>25528</v>
      </c>
      <c r="K65" s="200"/>
      <c r="L65" s="228">
        <f>SUM(K63:K64)</f>
        <v>26392</v>
      </c>
    </row>
    <row r="66" spans="1:12" ht="12.75">
      <c r="A66" s="18" t="s">
        <v>19</v>
      </c>
      <c r="B66" s="23" t="s">
        <v>72</v>
      </c>
      <c r="C66" s="23">
        <v>1</v>
      </c>
      <c r="D66" s="20" t="s">
        <v>73</v>
      </c>
      <c r="E66" s="191">
        <v>900</v>
      </c>
      <c r="F66" s="192"/>
      <c r="G66" s="191">
        <v>900</v>
      </c>
      <c r="H66" s="192"/>
      <c r="I66" s="191">
        <v>910</v>
      </c>
      <c r="J66" s="192"/>
      <c r="K66" s="191">
        <v>910</v>
      </c>
      <c r="L66" s="192"/>
    </row>
    <row r="67" spans="1:12" ht="12.75">
      <c r="A67" s="9"/>
      <c r="B67" s="24"/>
      <c r="C67" s="24">
        <v>2</v>
      </c>
      <c r="D67" s="11" t="s">
        <v>74</v>
      </c>
      <c r="E67" s="193">
        <f>650+328</f>
        <v>978</v>
      </c>
      <c r="F67" s="194"/>
      <c r="G67" s="193">
        <f>650+328+100</f>
        <v>1078</v>
      </c>
      <c r="H67" s="194"/>
      <c r="I67" s="193">
        <v>1078</v>
      </c>
      <c r="J67" s="194"/>
      <c r="K67" s="193">
        <v>1078</v>
      </c>
      <c r="L67" s="194"/>
    </row>
    <row r="68" spans="1:12" ht="12.75">
      <c r="A68" s="9"/>
      <c r="B68" s="24"/>
      <c r="C68" s="24">
        <v>3</v>
      </c>
      <c r="D68" s="11" t="s">
        <v>75</v>
      </c>
      <c r="E68" s="193">
        <v>300</v>
      </c>
      <c r="F68" s="194"/>
      <c r="G68" s="193">
        <v>300</v>
      </c>
      <c r="H68" s="194"/>
      <c r="I68" s="193">
        <v>300</v>
      </c>
      <c r="J68" s="194"/>
      <c r="K68" s="193">
        <v>300</v>
      </c>
      <c r="L68" s="194"/>
    </row>
    <row r="69" spans="1:12" ht="12.75">
      <c r="A69" s="9"/>
      <c r="B69" s="24"/>
      <c r="C69" s="24">
        <v>4</v>
      </c>
      <c r="D69" s="11" t="s">
        <v>76</v>
      </c>
      <c r="E69" s="202">
        <v>280</v>
      </c>
      <c r="F69" s="194"/>
      <c r="G69" s="202">
        <v>280</v>
      </c>
      <c r="H69" s="194"/>
      <c r="I69" s="202">
        <v>280</v>
      </c>
      <c r="J69" s="194"/>
      <c r="K69" s="202">
        <v>280</v>
      </c>
      <c r="L69" s="194"/>
    </row>
    <row r="70" spans="1:12" ht="13.5" thickBot="1">
      <c r="A70" s="12"/>
      <c r="B70" s="25"/>
      <c r="C70" s="25"/>
      <c r="D70" s="14" t="s">
        <v>18</v>
      </c>
      <c r="E70" s="203"/>
      <c r="F70" s="204">
        <f>SUM(E66:E69)</f>
        <v>2458</v>
      </c>
      <c r="G70" s="203"/>
      <c r="H70" s="204">
        <f>SUM(G66:G69)</f>
        <v>2558</v>
      </c>
      <c r="I70" s="203"/>
      <c r="J70" s="204">
        <f>SUM(I66:I69)</f>
        <v>2568</v>
      </c>
      <c r="K70" s="203"/>
      <c r="L70" s="204">
        <f>SUM(K66:K69)</f>
        <v>2568</v>
      </c>
    </row>
    <row r="71" spans="1:12" ht="12.75">
      <c r="A71" s="6" t="s">
        <v>35</v>
      </c>
      <c r="B71" s="30" t="s">
        <v>77</v>
      </c>
      <c r="C71" s="22">
        <v>1</v>
      </c>
      <c r="D71" s="8" t="s">
        <v>78</v>
      </c>
      <c r="E71" s="205">
        <f>16132+68</f>
        <v>16200</v>
      </c>
      <c r="F71" s="192"/>
      <c r="G71" s="205">
        <f>16132+68</f>
        <v>16200</v>
      </c>
      <c r="H71" s="192"/>
      <c r="I71" s="205">
        <f>16132+1068</f>
        <v>17200</v>
      </c>
      <c r="J71" s="192"/>
      <c r="K71" s="227">
        <f>68+25000+17832</f>
        <v>42900</v>
      </c>
      <c r="L71" s="192"/>
    </row>
    <row r="72" spans="1:12" ht="12.75">
      <c r="A72" s="12"/>
      <c r="B72" s="25"/>
      <c r="C72" s="23">
        <f aca="true" t="shared" si="3" ref="C72:C83">+C71+1</f>
        <v>2</v>
      </c>
      <c r="D72" s="11" t="s">
        <v>179</v>
      </c>
      <c r="E72" s="202">
        <v>3400</v>
      </c>
      <c r="F72" s="194"/>
      <c r="G72" s="202">
        <v>3400</v>
      </c>
      <c r="H72" s="194"/>
      <c r="I72" s="202">
        <v>2400</v>
      </c>
      <c r="J72" s="194"/>
      <c r="K72" s="202">
        <v>2400</v>
      </c>
      <c r="L72" s="194"/>
    </row>
    <row r="73" spans="1:12" ht="12.75">
      <c r="A73" s="12"/>
      <c r="B73" s="25"/>
      <c r="C73" s="23">
        <f t="shared" si="3"/>
        <v>3</v>
      </c>
      <c r="D73" s="11" t="s">
        <v>79</v>
      </c>
      <c r="E73" s="202">
        <v>830</v>
      </c>
      <c r="F73" s="206"/>
      <c r="G73" s="202">
        <v>830</v>
      </c>
      <c r="H73" s="206"/>
      <c r="I73" s="202">
        <v>830</v>
      </c>
      <c r="J73" s="206"/>
      <c r="K73" s="202">
        <v>830</v>
      </c>
      <c r="L73" s="206"/>
    </row>
    <row r="74" spans="1:12" ht="12.75">
      <c r="A74" s="12"/>
      <c r="B74" s="25"/>
      <c r="C74" s="23">
        <f t="shared" si="3"/>
        <v>4</v>
      </c>
      <c r="D74" s="11" t="s">
        <v>80</v>
      </c>
      <c r="E74" s="202">
        <v>4400</v>
      </c>
      <c r="F74" s="206"/>
      <c r="G74" s="202">
        <v>4400</v>
      </c>
      <c r="H74" s="206"/>
      <c r="I74" s="202">
        <v>4400</v>
      </c>
      <c r="J74" s="206"/>
      <c r="K74" s="202">
        <v>4400</v>
      </c>
      <c r="L74" s="206"/>
    </row>
    <row r="75" spans="1:12" ht="12.75">
      <c r="A75" s="12"/>
      <c r="B75" s="25"/>
      <c r="C75" s="23">
        <f t="shared" si="3"/>
        <v>5</v>
      </c>
      <c r="D75" s="11" t="s">
        <v>81</v>
      </c>
      <c r="E75" s="202">
        <f>2800+65+580</f>
        <v>3445</v>
      </c>
      <c r="F75" s="206"/>
      <c r="G75" s="202">
        <f>2800+65+580</f>
        <v>3445</v>
      </c>
      <c r="H75" s="206"/>
      <c r="I75" s="202">
        <f>2800+65+580+1110</f>
        <v>4555</v>
      </c>
      <c r="J75" s="206"/>
      <c r="K75" s="202">
        <f>2800+65+580+1110</f>
        <v>4555</v>
      </c>
      <c r="L75" s="206"/>
    </row>
    <row r="76" spans="1:12" ht="12.75">
      <c r="A76" s="12"/>
      <c r="B76" s="25"/>
      <c r="C76" s="23">
        <f t="shared" si="3"/>
        <v>6</v>
      </c>
      <c r="D76" s="11" t="s">
        <v>82</v>
      </c>
      <c r="E76" s="202">
        <f>440+108+2</f>
        <v>550</v>
      </c>
      <c r="F76" s="206"/>
      <c r="G76" s="202">
        <f>440+108+2</f>
        <v>550</v>
      </c>
      <c r="H76" s="206"/>
      <c r="I76" s="202">
        <f>440+108+2</f>
        <v>550</v>
      </c>
      <c r="J76" s="206"/>
      <c r="K76" s="202">
        <f>440+108+2</f>
        <v>550</v>
      </c>
      <c r="L76" s="206"/>
    </row>
    <row r="77" spans="1:12" ht="12.75">
      <c r="A77" s="12"/>
      <c r="B77" s="25"/>
      <c r="C77" s="23">
        <f t="shared" si="3"/>
        <v>7</v>
      </c>
      <c r="D77" s="11" t="s">
        <v>120</v>
      </c>
      <c r="E77" s="202">
        <f>500+510+150+380</f>
        <v>1540</v>
      </c>
      <c r="F77" s="206"/>
      <c r="G77" s="202">
        <f>500+510+150+380</f>
        <v>1540</v>
      </c>
      <c r="H77" s="206"/>
      <c r="I77" s="202">
        <f>500+510+150+380-115</f>
        <v>1425</v>
      </c>
      <c r="J77" s="206"/>
      <c r="K77" s="202">
        <f>500+510+150+380-115</f>
        <v>1425</v>
      </c>
      <c r="L77" s="206"/>
    </row>
    <row r="78" spans="1:12" ht="12.75">
      <c r="A78" s="12"/>
      <c r="B78" s="25"/>
      <c r="C78" s="23">
        <f t="shared" si="3"/>
        <v>8</v>
      </c>
      <c r="D78" s="11" t="s">
        <v>116</v>
      </c>
      <c r="E78" s="202">
        <v>300</v>
      </c>
      <c r="F78" s="206"/>
      <c r="G78" s="202">
        <v>300</v>
      </c>
      <c r="H78" s="206"/>
      <c r="I78" s="202">
        <v>300</v>
      </c>
      <c r="J78" s="206"/>
      <c r="K78" s="202">
        <v>300</v>
      </c>
      <c r="L78" s="206"/>
    </row>
    <row r="79" spans="1:12" ht="12.75">
      <c r="A79" s="12"/>
      <c r="B79" s="25"/>
      <c r="C79" s="23">
        <f t="shared" si="3"/>
        <v>9</v>
      </c>
      <c r="D79" s="11" t="s">
        <v>175</v>
      </c>
      <c r="E79" s="203">
        <v>500</v>
      </c>
      <c r="F79" s="206"/>
      <c r="G79" s="203">
        <v>500</v>
      </c>
      <c r="H79" s="206"/>
      <c r="I79" s="203">
        <v>505</v>
      </c>
      <c r="J79" s="206"/>
      <c r="K79" s="203">
        <v>505</v>
      </c>
      <c r="L79" s="206"/>
    </row>
    <row r="80" spans="1:12" ht="12.75">
      <c r="A80" s="12"/>
      <c r="B80" s="25"/>
      <c r="C80" s="23">
        <f t="shared" si="3"/>
        <v>10</v>
      </c>
      <c r="D80" s="11" t="s">
        <v>182</v>
      </c>
      <c r="E80" s="203">
        <v>500</v>
      </c>
      <c r="F80" s="206"/>
      <c r="G80" s="203">
        <v>600</v>
      </c>
      <c r="H80" s="206"/>
      <c r="I80" s="203"/>
      <c r="J80" s="206"/>
      <c r="K80" s="233">
        <f>218+414</f>
        <v>632</v>
      </c>
      <c r="L80" s="206"/>
    </row>
    <row r="81" spans="1:12" ht="12.75">
      <c r="A81" s="12"/>
      <c r="B81" s="25"/>
      <c r="C81" s="23">
        <f t="shared" si="3"/>
        <v>11</v>
      </c>
      <c r="D81" s="11" t="s">
        <v>183</v>
      </c>
      <c r="E81" s="203"/>
      <c r="F81" s="206"/>
      <c r="G81" s="203"/>
      <c r="H81" s="206"/>
      <c r="I81" s="203"/>
      <c r="J81" s="206"/>
      <c r="K81" s="233">
        <f>20+170</f>
        <v>190</v>
      </c>
      <c r="L81" s="206"/>
    </row>
    <row r="82" spans="1:12" ht="12.75">
      <c r="A82" s="12"/>
      <c r="B82" s="25"/>
      <c r="C82" s="23">
        <f t="shared" si="3"/>
        <v>12</v>
      </c>
      <c r="D82" s="11" t="s">
        <v>185</v>
      </c>
      <c r="E82" s="203"/>
      <c r="F82" s="206"/>
      <c r="G82" s="203"/>
      <c r="H82" s="206"/>
      <c r="I82" s="203"/>
      <c r="J82" s="206"/>
      <c r="K82" s="233">
        <v>182</v>
      </c>
      <c r="L82" s="206"/>
    </row>
    <row r="83" spans="1:12" ht="12.75">
      <c r="A83" s="12"/>
      <c r="B83" s="25"/>
      <c r="C83" s="23">
        <f t="shared" si="3"/>
        <v>13</v>
      </c>
      <c r="D83" s="11" t="s">
        <v>184</v>
      </c>
      <c r="E83" s="203"/>
      <c r="F83" s="206"/>
      <c r="G83" s="203"/>
      <c r="H83" s="206"/>
      <c r="I83" s="203">
        <v>700</v>
      </c>
      <c r="J83" s="206"/>
      <c r="K83" s="233">
        <f>65+215</f>
        <v>280</v>
      </c>
      <c r="L83" s="206"/>
    </row>
    <row r="84" spans="1:12" ht="13.5" thickBot="1">
      <c r="A84" s="15"/>
      <c r="B84" s="26"/>
      <c r="C84" s="23"/>
      <c r="D84" s="39" t="s">
        <v>18</v>
      </c>
      <c r="E84" s="196"/>
      <c r="F84" s="207">
        <f>SUM(E71:E80)</f>
        <v>31665</v>
      </c>
      <c r="G84" s="196"/>
      <c r="H84" s="207">
        <f>SUM(G71:G80)</f>
        <v>31765</v>
      </c>
      <c r="I84" s="196"/>
      <c r="J84" s="207">
        <f>SUM(I71:I84)</f>
        <v>32865</v>
      </c>
      <c r="K84" s="196"/>
      <c r="L84" s="164">
        <f>SUM(K71:K83)</f>
        <v>59149</v>
      </c>
    </row>
    <row r="85" spans="1:12" ht="12.75">
      <c r="A85" s="6" t="s">
        <v>40</v>
      </c>
      <c r="B85" s="22" t="s">
        <v>83</v>
      </c>
      <c r="C85" s="22">
        <v>1</v>
      </c>
      <c r="D85" s="40" t="s">
        <v>84</v>
      </c>
      <c r="E85" s="208">
        <v>200</v>
      </c>
      <c r="F85" s="209"/>
      <c r="G85" s="208">
        <v>200</v>
      </c>
      <c r="H85" s="209"/>
      <c r="I85" s="208">
        <v>200</v>
      </c>
      <c r="J85" s="209"/>
      <c r="K85" s="208">
        <v>200</v>
      </c>
      <c r="L85" s="209"/>
    </row>
    <row r="86" spans="1:12" ht="12.75">
      <c r="A86" s="9"/>
      <c r="B86" s="24"/>
      <c r="C86" s="24">
        <f aca="true" t="shared" si="4" ref="C86:C93">+C85+1</f>
        <v>2</v>
      </c>
      <c r="D86" s="11" t="s">
        <v>85</v>
      </c>
      <c r="E86" s="202">
        <v>400</v>
      </c>
      <c r="F86" s="194"/>
      <c r="G86" s="202">
        <v>400</v>
      </c>
      <c r="H86" s="194"/>
      <c r="I86" s="202">
        <v>400</v>
      </c>
      <c r="J86" s="194"/>
      <c r="K86" s="202">
        <v>400</v>
      </c>
      <c r="L86" s="194"/>
    </row>
    <row r="87" spans="1:12" ht="12.75">
      <c r="A87" s="9"/>
      <c r="B87" s="24"/>
      <c r="C87" s="24">
        <f t="shared" si="4"/>
        <v>3</v>
      </c>
      <c r="D87" s="11" t="s">
        <v>86</v>
      </c>
      <c r="E87" s="202">
        <v>215</v>
      </c>
      <c r="F87" s="194"/>
      <c r="G87" s="202">
        <v>215</v>
      </c>
      <c r="H87" s="194"/>
      <c r="I87" s="202">
        <v>215</v>
      </c>
      <c r="J87" s="194"/>
      <c r="K87" s="202">
        <v>215</v>
      </c>
      <c r="L87" s="194"/>
    </row>
    <row r="88" spans="1:12" ht="12.75">
      <c r="A88" s="9"/>
      <c r="B88" s="24"/>
      <c r="C88" s="24">
        <f t="shared" si="4"/>
        <v>4</v>
      </c>
      <c r="D88" s="11" t="s">
        <v>87</v>
      </c>
      <c r="E88" s="202">
        <v>450</v>
      </c>
      <c r="F88" s="194"/>
      <c r="G88" s="202">
        <v>450</v>
      </c>
      <c r="H88" s="194"/>
      <c r="I88" s="202">
        <v>450</v>
      </c>
      <c r="J88" s="194"/>
      <c r="K88" s="202">
        <v>450</v>
      </c>
      <c r="L88" s="194"/>
    </row>
    <row r="89" spans="1:12" ht="12.75">
      <c r="A89" s="9"/>
      <c r="B89" s="24"/>
      <c r="C89" s="24">
        <f t="shared" si="4"/>
        <v>5</v>
      </c>
      <c r="D89" s="11" t="s">
        <v>88</v>
      </c>
      <c r="E89" s="202">
        <v>5050</v>
      </c>
      <c r="F89" s="194"/>
      <c r="G89" s="202">
        <v>5050</v>
      </c>
      <c r="H89" s="194"/>
      <c r="I89" s="202">
        <v>5050</v>
      </c>
      <c r="J89" s="194"/>
      <c r="K89" s="202">
        <v>5050</v>
      </c>
      <c r="L89" s="194"/>
    </row>
    <row r="90" spans="1:12" ht="12.75">
      <c r="A90" s="9"/>
      <c r="B90" s="24"/>
      <c r="C90" s="24">
        <f t="shared" si="4"/>
        <v>6</v>
      </c>
      <c r="D90" s="11" t="s">
        <v>89</v>
      </c>
      <c r="E90" s="202">
        <v>1510</v>
      </c>
      <c r="F90" s="194"/>
      <c r="G90" s="202">
        <v>1510</v>
      </c>
      <c r="H90" s="194"/>
      <c r="I90" s="202">
        <f>1510+361</f>
        <v>1871</v>
      </c>
      <c r="J90" s="194"/>
      <c r="K90" s="202">
        <f>1510+361</f>
        <v>1871</v>
      </c>
      <c r="L90" s="194"/>
    </row>
    <row r="91" spans="1:12" ht="12.75">
      <c r="A91" s="9"/>
      <c r="B91" s="24"/>
      <c r="C91" s="24">
        <f t="shared" si="4"/>
        <v>7</v>
      </c>
      <c r="D91" s="11" t="s">
        <v>90</v>
      </c>
      <c r="E91" s="202">
        <v>1520</v>
      </c>
      <c r="F91" s="194"/>
      <c r="G91" s="202">
        <v>1520</v>
      </c>
      <c r="H91" s="194"/>
      <c r="I91" s="202">
        <v>1520</v>
      </c>
      <c r="J91" s="194"/>
      <c r="K91" s="202">
        <v>1520</v>
      </c>
      <c r="L91" s="194"/>
    </row>
    <row r="92" spans="1:12" ht="12.75">
      <c r="A92" s="9"/>
      <c r="B92" s="24"/>
      <c r="C92" s="24">
        <f t="shared" si="4"/>
        <v>8</v>
      </c>
      <c r="D92" s="11" t="s">
        <v>174</v>
      </c>
      <c r="E92" s="193">
        <v>542</v>
      </c>
      <c r="F92" s="194"/>
      <c r="G92" s="193">
        <v>542</v>
      </c>
      <c r="H92" s="194"/>
      <c r="I92" s="193">
        <v>542</v>
      </c>
      <c r="J92" s="194"/>
      <c r="K92" s="193">
        <v>542</v>
      </c>
      <c r="L92" s="194"/>
    </row>
    <row r="93" spans="1:12" ht="12.75">
      <c r="A93" s="12"/>
      <c r="B93" s="25"/>
      <c r="C93" s="24">
        <f t="shared" si="4"/>
        <v>9</v>
      </c>
      <c r="D93" s="14" t="s">
        <v>127</v>
      </c>
      <c r="E93" s="210">
        <v>60</v>
      </c>
      <c r="F93" s="206"/>
      <c r="G93" s="210">
        <v>60</v>
      </c>
      <c r="H93" s="206"/>
      <c r="I93" s="210">
        <v>60</v>
      </c>
      <c r="J93" s="206"/>
      <c r="K93" s="210">
        <v>60</v>
      </c>
      <c r="L93" s="206"/>
    </row>
    <row r="94" spans="1:12" ht="13.5" thickBot="1">
      <c r="A94" s="15"/>
      <c r="B94" s="26"/>
      <c r="C94" s="26"/>
      <c r="D94" s="17" t="s">
        <v>18</v>
      </c>
      <c r="E94" s="196"/>
      <c r="F94" s="201">
        <f>SUM(E85:E93)</f>
        <v>9947</v>
      </c>
      <c r="G94" s="196"/>
      <c r="H94" s="201">
        <f>SUM(G85:G93)</f>
        <v>9947</v>
      </c>
      <c r="I94" s="196"/>
      <c r="J94" s="201">
        <f>SUM(I85:I93)</f>
        <v>10308</v>
      </c>
      <c r="K94" s="196"/>
      <c r="L94" s="201">
        <f>SUM(K85:K93)</f>
        <v>10308</v>
      </c>
    </row>
    <row r="95" spans="1:12" ht="12.75">
      <c r="A95" s="6" t="s">
        <v>46</v>
      </c>
      <c r="B95" s="22" t="s">
        <v>91</v>
      </c>
      <c r="C95" s="22">
        <v>1</v>
      </c>
      <c r="D95" s="8" t="s">
        <v>92</v>
      </c>
      <c r="E95" s="205">
        <v>700</v>
      </c>
      <c r="F95" s="192"/>
      <c r="G95" s="205">
        <v>700</v>
      </c>
      <c r="H95" s="192"/>
      <c r="I95" s="205">
        <v>700</v>
      </c>
      <c r="J95" s="192"/>
      <c r="K95" s="205">
        <v>700</v>
      </c>
      <c r="L95" s="192"/>
    </row>
    <row r="96" spans="1:12" ht="12.75">
      <c r="A96" s="18"/>
      <c r="B96" s="23"/>
      <c r="C96" s="24">
        <f aca="true" t="shared" si="5" ref="C96:C103">+C95+1</f>
        <v>2</v>
      </c>
      <c r="D96" s="20" t="s">
        <v>93</v>
      </c>
      <c r="E96" s="208">
        <v>90</v>
      </c>
      <c r="F96" s="209"/>
      <c r="G96" s="208">
        <v>90</v>
      </c>
      <c r="H96" s="209"/>
      <c r="I96" s="208">
        <v>90</v>
      </c>
      <c r="J96" s="209"/>
      <c r="K96" s="208">
        <v>90</v>
      </c>
      <c r="L96" s="209"/>
    </row>
    <row r="97" spans="1:12" ht="12.75">
      <c r="A97" s="18"/>
      <c r="B97" s="23"/>
      <c r="C97" s="24">
        <f t="shared" si="5"/>
        <v>3</v>
      </c>
      <c r="D97" s="11" t="s">
        <v>94</v>
      </c>
      <c r="E97" s="193">
        <v>950</v>
      </c>
      <c r="F97" s="209"/>
      <c r="G97" s="193">
        <v>950</v>
      </c>
      <c r="H97" s="209"/>
      <c r="I97" s="193">
        <v>950</v>
      </c>
      <c r="J97" s="209"/>
      <c r="K97" s="193">
        <v>950</v>
      </c>
      <c r="L97" s="209"/>
    </row>
    <row r="98" spans="1:12" ht="12.75">
      <c r="A98" s="9"/>
      <c r="B98" s="24"/>
      <c r="C98" s="24">
        <f t="shared" si="5"/>
        <v>4</v>
      </c>
      <c r="D98" s="11" t="s">
        <v>95</v>
      </c>
      <c r="E98" s="203">
        <f>1300+450</f>
        <v>1750</v>
      </c>
      <c r="F98" s="194"/>
      <c r="G98" s="203">
        <f>910+450</f>
        <v>1360</v>
      </c>
      <c r="H98" s="194"/>
      <c r="I98" s="203">
        <v>0</v>
      </c>
      <c r="J98" s="194"/>
      <c r="K98" s="233">
        <v>-20237</v>
      </c>
      <c r="L98" s="194"/>
    </row>
    <row r="99" spans="1:12" ht="12.75">
      <c r="A99" s="12"/>
      <c r="B99" s="25"/>
      <c r="C99" s="24">
        <f t="shared" si="5"/>
        <v>5</v>
      </c>
      <c r="D99" s="11" t="s">
        <v>96</v>
      </c>
      <c r="E99" s="210">
        <v>124</v>
      </c>
      <c r="F99" s="206"/>
      <c r="G99" s="210">
        <v>124</v>
      </c>
      <c r="H99" s="206"/>
      <c r="I99" s="210">
        <v>124</v>
      </c>
      <c r="J99" s="206"/>
      <c r="K99" s="210">
        <v>124</v>
      </c>
      <c r="L99" s="206"/>
    </row>
    <row r="100" spans="1:12" ht="12.75">
      <c r="A100" s="12"/>
      <c r="B100" s="25"/>
      <c r="C100" s="24">
        <f t="shared" si="5"/>
        <v>6</v>
      </c>
      <c r="D100" s="11" t="s">
        <v>118</v>
      </c>
      <c r="E100" s="210">
        <v>850</v>
      </c>
      <c r="F100" s="206"/>
      <c r="G100" s="210">
        <v>849</v>
      </c>
      <c r="H100" s="206"/>
      <c r="I100" s="210">
        <v>849</v>
      </c>
      <c r="J100" s="206"/>
      <c r="K100" s="210">
        <v>849</v>
      </c>
      <c r="L100" s="206"/>
    </row>
    <row r="101" spans="1:12" ht="12.75">
      <c r="A101" s="12"/>
      <c r="B101" s="25"/>
      <c r="C101" s="24">
        <f t="shared" si="5"/>
        <v>7</v>
      </c>
      <c r="D101" s="11" t="s">
        <v>97</v>
      </c>
      <c r="E101" s="210">
        <v>89</v>
      </c>
      <c r="F101" s="206"/>
      <c r="G101" s="210">
        <v>89</v>
      </c>
      <c r="H101" s="206"/>
      <c r="I101" s="210">
        <v>89</v>
      </c>
      <c r="J101" s="206"/>
      <c r="K101" s="210">
        <v>89</v>
      </c>
      <c r="L101" s="206"/>
    </row>
    <row r="102" spans="1:12" ht="12.75">
      <c r="A102" s="12"/>
      <c r="B102" s="25"/>
      <c r="C102" s="24">
        <f t="shared" si="5"/>
        <v>8</v>
      </c>
      <c r="D102" s="11" t="s">
        <v>124</v>
      </c>
      <c r="E102" s="210">
        <v>510</v>
      </c>
      <c r="F102" s="206"/>
      <c r="G102" s="210">
        <v>510</v>
      </c>
      <c r="H102" s="206"/>
      <c r="I102" s="210">
        <v>510</v>
      </c>
      <c r="J102" s="206"/>
      <c r="K102" s="210">
        <v>510</v>
      </c>
      <c r="L102" s="206"/>
    </row>
    <row r="103" spans="1:12" ht="12.75">
      <c r="A103" s="12"/>
      <c r="B103" s="25"/>
      <c r="C103" s="24">
        <f t="shared" si="5"/>
        <v>9</v>
      </c>
      <c r="D103" s="11" t="s">
        <v>98</v>
      </c>
      <c r="E103" s="203">
        <v>764</v>
      </c>
      <c r="F103" s="206"/>
      <c r="G103" s="203">
        <v>795</v>
      </c>
      <c r="H103" s="206"/>
      <c r="I103" s="203">
        <v>900</v>
      </c>
      <c r="J103" s="206"/>
      <c r="K103" s="233">
        <v>1000</v>
      </c>
      <c r="L103" s="206"/>
    </row>
    <row r="104" spans="1:12" ht="13.5" thickBot="1">
      <c r="A104" s="15"/>
      <c r="B104" s="26"/>
      <c r="C104" s="26"/>
      <c r="D104" s="17" t="s">
        <v>18</v>
      </c>
      <c r="E104" s="196"/>
      <c r="F104" s="201">
        <f>SUM(E95:E103)</f>
        <v>5827</v>
      </c>
      <c r="G104" s="196"/>
      <c r="H104" s="201">
        <f>SUM(G95:G103)</f>
        <v>5467</v>
      </c>
      <c r="I104" s="196"/>
      <c r="J104" s="201">
        <f>SUM(I95:I103)</f>
        <v>4212</v>
      </c>
      <c r="K104" s="196"/>
      <c r="L104" s="228">
        <f>SUM(K95:K103)</f>
        <v>-15925</v>
      </c>
    </row>
    <row r="105" spans="1:12" ht="12.75">
      <c r="A105" s="6" t="s">
        <v>48</v>
      </c>
      <c r="B105" s="22" t="s">
        <v>99</v>
      </c>
      <c r="C105" s="22">
        <v>1</v>
      </c>
      <c r="D105" s="20" t="s">
        <v>10</v>
      </c>
      <c r="E105" s="241">
        <f>5500+19000</f>
        <v>24500</v>
      </c>
      <c r="F105" s="192"/>
      <c r="G105" s="241">
        <f>5500+19000</f>
        <v>24500</v>
      </c>
      <c r="H105" s="192"/>
      <c r="I105" s="241">
        <f>5500+19000</f>
        <v>24500</v>
      </c>
      <c r="J105" s="192"/>
      <c r="K105" s="241">
        <f>5500+19000</f>
        <v>24500</v>
      </c>
      <c r="L105" s="192"/>
    </row>
    <row r="106" spans="1:12" ht="13.5" thickBot="1">
      <c r="A106" s="9"/>
      <c r="B106" s="24"/>
      <c r="C106" s="24">
        <v>2</v>
      </c>
      <c r="D106" s="17" t="s">
        <v>100</v>
      </c>
      <c r="E106" s="202">
        <v>800</v>
      </c>
      <c r="F106" s="194"/>
      <c r="G106" s="202">
        <v>800</v>
      </c>
      <c r="H106" s="194"/>
      <c r="I106" s="202">
        <v>800</v>
      </c>
      <c r="J106" s="194"/>
      <c r="K106" s="202">
        <v>800</v>
      </c>
      <c r="L106" s="194"/>
    </row>
    <row r="107" spans="1:12" ht="13.5" thickBot="1">
      <c r="A107" s="15"/>
      <c r="B107" s="26"/>
      <c r="C107" s="26"/>
      <c r="D107" s="39" t="s">
        <v>5</v>
      </c>
      <c r="E107" s="196"/>
      <c r="F107" s="201">
        <f>SUM(E105:E106)</f>
        <v>25300</v>
      </c>
      <c r="G107" s="196"/>
      <c r="H107" s="201">
        <f>SUM(G105:G106)</f>
        <v>25300</v>
      </c>
      <c r="I107" s="196"/>
      <c r="J107" s="201">
        <f>SUM(I105:I106)</f>
        <v>25300</v>
      </c>
      <c r="K107" s="196"/>
      <c r="L107" s="201">
        <f>SUM(K105:K106)</f>
        <v>25300</v>
      </c>
    </row>
    <row r="108" spans="1:12" ht="13.5" thickBot="1">
      <c r="A108" s="41" t="s">
        <v>50</v>
      </c>
      <c r="B108" s="42" t="s">
        <v>47</v>
      </c>
      <c r="C108" s="42"/>
      <c r="D108" s="39"/>
      <c r="E108" s="211">
        <v>1300</v>
      </c>
      <c r="F108" s="212">
        <f>SUM(E108)</f>
        <v>1300</v>
      </c>
      <c r="G108" s="211">
        <v>1200</v>
      </c>
      <c r="H108" s="212">
        <f>SUM(G108)</f>
        <v>1200</v>
      </c>
      <c r="I108" s="211">
        <v>1200</v>
      </c>
      <c r="J108" s="212">
        <f>SUM(I108)</f>
        <v>1200</v>
      </c>
      <c r="K108" s="211">
        <v>1200</v>
      </c>
      <c r="L108" s="212">
        <f>SUM(K108)</f>
        <v>1200</v>
      </c>
    </row>
    <row r="109" spans="1:12" ht="13.5" thickBot="1">
      <c r="A109" s="43" t="s">
        <v>56</v>
      </c>
      <c r="B109" s="28" t="s">
        <v>57</v>
      </c>
      <c r="C109" s="30"/>
      <c r="D109" s="31"/>
      <c r="E109" s="213">
        <v>608</v>
      </c>
      <c r="F109" s="214">
        <f>SUM(E109)</f>
        <v>608</v>
      </c>
      <c r="G109" s="213">
        <v>608</v>
      </c>
      <c r="H109" s="214">
        <f>SUM(G109)</f>
        <v>608</v>
      </c>
      <c r="I109" s="213">
        <v>608</v>
      </c>
      <c r="J109" s="214">
        <f>SUM(I109)</f>
        <v>608</v>
      </c>
      <c r="K109" s="213">
        <v>608</v>
      </c>
      <c r="L109" s="214">
        <f>SUM(K109)</f>
        <v>608</v>
      </c>
    </row>
    <row r="110" spans="1:12" ht="12.75">
      <c r="A110" s="33"/>
      <c r="B110" s="22" t="s">
        <v>101</v>
      </c>
      <c r="C110" s="22"/>
      <c r="D110" s="8"/>
      <c r="E110" s="205"/>
      <c r="F110" s="215">
        <f>SUM(F62:F109)</f>
        <v>107674</v>
      </c>
      <c r="G110" s="205"/>
      <c r="H110" s="215">
        <f>SUM(H62:H109)</f>
        <v>107414</v>
      </c>
      <c r="I110" s="205"/>
      <c r="J110" s="215">
        <f>SUM(J62:J109)</f>
        <v>109040</v>
      </c>
      <c r="K110" s="205"/>
      <c r="L110" s="58">
        <f>SUM(L62:L109)</f>
        <v>116051</v>
      </c>
    </row>
    <row r="111" spans="1:12" ht="13.5" thickBot="1">
      <c r="A111" s="34"/>
      <c r="B111" s="26" t="s">
        <v>102</v>
      </c>
      <c r="C111" s="26"/>
      <c r="D111" s="17"/>
      <c r="E111" s="196"/>
      <c r="F111" s="216">
        <f>+F110-608</f>
        <v>107066</v>
      </c>
      <c r="G111" s="196"/>
      <c r="H111" s="216">
        <f>+H110-608</f>
        <v>106806</v>
      </c>
      <c r="I111" s="196"/>
      <c r="J111" s="216">
        <f>+J110-608</f>
        <v>108432</v>
      </c>
      <c r="K111" s="196"/>
      <c r="L111" s="59">
        <f>+L110-608</f>
        <v>115443</v>
      </c>
    </row>
    <row r="112" spans="1:12" ht="13.5" thickBot="1">
      <c r="A112" s="44"/>
      <c r="B112" s="44"/>
      <c r="C112" s="44"/>
      <c r="D112" s="44"/>
      <c r="E112" s="217"/>
      <c r="F112" s="218"/>
      <c r="G112" s="217"/>
      <c r="H112" s="218"/>
      <c r="I112" s="217"/>
      <c r="J112" s="218"/>
      <c r="K112" s="217"/>
      <c r="L112" s="218"/>
    </row>
    <row r="113" spans="1:13" ht="13.5" thickBot="1">
      <c r="A113" s="45"/>
      <c r="B113" s="46" t="s">
        <v>103</v>
      </c>
      <c r="C113" s="47"/>
      <c r="D113" s="48"/>
      <c r="E113" s="214"/>
      <c r="F113" s="214">
        <f>+F50-F111</f>
        <v>-14409.699999999997</v>
      </c>
      <c r="G113" s="214"/>
      <c r="H113" s="214">
        <f>+H50-H111</f>
        <v>-14409.699999999997</v>
      </c>
      <c r="I113" s="214"/>
      <c r="J113" s="214">
        <f>+J50-J111</f>
        <v>-14409.699999999997</v>
      </c>
      <c r="K113" s="214"/>
      <c r="L113" s="230">
        <f>+L50-L111</f>
        <v>-20398.699999999997</v>
      </c>
      <c r="M113" s="236">
        <f>SUM(L113:L116)</f>
        <v>0.3000000000029104</v>
      </c>
    </row>
    <row r="114" spans="1:12" ht="12.75">
      <c r="A114" s="44"/>
      <c r="B114" s="49" t="s">
        <v>104</v>
      </c>
      <c r="C114" s="33" t="s">
        <v>105</v>
      </c>
      <c r="D114" s="50"/>
      <c r="E114" s="208">
        <f>16132+3000+3297</f>
        <v>22429</v>
      </c>
      <c r="F114" s="219"/>
      <c r="G114" s="208">
        <f>16132+3000+3293</f>
        <v>22425</v>
      </c>
      <c r="H114" s="219"/>
      <c r="I114" s="208">
        <f>16132+3000+3293</f>
        <v>22425</v>
      </c>
      <c r="J114" s="219"/>
      <c r="K114" s="229">
        <f>21347+3000+3293+360</f>
        <v>28000</v>
      </c>
      <c r="L114" s="231"/>
    </row>
    <row r="115" spans="2:12" ht="12.75">
      <c r="B115" s="49"/>
      <c r="C115" s="51" t="s">
        <v>106</v>
      </c>
      <c r="D115" s="52"/>
      <c r="E115" s="53">
        <f>-608-214-1400-3000-3297</f>
        <v>-8519</v>
      </c>
      <c r="F115" s="220"/>
      <c r="G115" s="53">
        <f>-608-214-1400-3000-3293</f>
        <v>-8515</v>
      </c>
      <c r="H115" s="220"/>
      <c r="I115" s="53">
        <f>-608-214-1400-3000-3293</f>
        <v>-8515</v>
      </c>
      <c r="J115" s="220"/>
      <c r="K115" s="53">
        <f>-608-214-1400-3000-3293</f>
        <v>-8515</v>
      </c>
      <c r="L115" s="232"/>
    </row>
    <row r="116" spans="2:12" ht="13.5" thickBot="1">
      <c r="B116" s="54" t="s">
        <v>107</v>
      </c>
      <c r="C116" s="34" t="s">
        <v>108</v>
      </c>
      <c r="D116" s="55"/>
      <c r="E116" s="200">
        <v>500</v>
      </c>
      <c r="F116" s="201">
        <f>SUM(E114:E116)</f>
        <v>14410</v>
      </c>
      <c r="G116" s="200">
        <v>500</v>
      </c>
      <c r="H116" s="201">
        <f>SUM(G114:G116)</f>
        <v>14410</v>
      </c>
      <c r="I116" s="200">
        <v>500</v>
      </c>
      <c r="J116" s="201">
        <f>SUM(I114:I116)</f>
        <v>14410</v>
      </c>
      <c r="K116" s="238">
        <v>914</v>
      </c>
      <c r="L116" s="228">
        <f>SUM(K114:K116)</f>
        <v>20399</v>
      </c>
    </row>
    <row r="117" spans="2:12" ht="12.75">
      <c r="B117" s="56" t="s">
        <v>109</v>
      </c>
      <c r="C117" s="23"/>
      <c r="D117" s="23"/>
      <c r="E117" s="221">
        <f>3976-174</f>
        <v>3802</v>
      </c>
      <c r="F117" s="219" t="s">
        <v>110</v>
      </c>
      <c r="G117" s="221">
        <f>3976-174</f>
        <v>3802</v>
      </c>
      <c r="H117" s="219" t="s">
        <v>110</v>
      </c>
      <c r="I117" s="221">
        <f>3976-174</f>
        <v>3802</v>
      </c>
      <c r="J117" s="219" t="s">
        <v>110</v>
      </c>
      <c r="K117" s="221">
        <f>3976-174</f>
        <v>3802</v>
      </c>
      <c r="L117" s="219" t="s">
        <v>110</v>
      </c>
    </row>
    <row r="118" spans="2:12" ht="12.75">
      <c r="B118" s="51" t="s">
        <v>111</v>
      </c>
      <c r="C118" s="24"/>
      <c r="D118" s="24"/>
      <c r="E118" s="222">
        <f>+E116-E121</f>
        <v>500</v>
      </c>
      <c r="F118" s="199" t="s">
        <v>110</v>
      </c>
      <c r="G118" s="222">
        <f>+G116-G121</f>
        <v>500</v>
      </c>
      <c r="H118" s="199" t="s">
        <v>110</v>
      </c>
      <c r="I118" s="222">
        <f>+I116-I121</f>
        <v>500</v>
      </c>
      <c r="J118" s="199" t="s">
        <v>110</v>
      </c>
      <c r="K118" s="222">
        <f>+K116-K121</f>
        <v>914</v>
      </c>
      <c r="L118" s="199" t="s">
        <v>110</v>
      </c>
    </row>
    <row r="119" spans="2:12" ht="13.5" thickBot="1">
      <c r="B119" s="34" t="s">
        <v>112</v>
      </c>
      <c r="C119" s="26"/>
      <c r="D119" s="26"/>
      <c r="E119" s="223">
        <f>+E117-E118</f>
        <v>3302</v>
      </c>
      <c r="F119" s="201" t="s">
        <v>110</v>
      </c>
      <c r="G119" s="223">
        <f>+G117-G118</f>
        <v>3302</v>
      </c>
      <c r="H119" s="201" t="s">
        <v>110</v>
      </c>
      <c r="I119" s="223">
        <f>+I117-I118</f>
        <v>3302</v>
      </c>
      <c r="J119" s="201" t="s">
        <v>110</v>
      </c>
      <c r="K119" s="223">
        <f>+K117-K118</f>
        <v>2888</v>
      </c>
      <c r="L119" s="201" t="s">
        <v>110</v>
      </c>
    </row>
    <row r="120" spans="2:12" ht="12.75">
      <c r="B120" s="33" t="s">
        <v>113</v>
      </c>
      <c r="C120" s="22"/>
      <c r="D120" s="22"/>
      <c r="E120" s="224">
        <v>174</v>
      </c>
      <c r="F120" s="192" t="s">
        <v>110</v>
      </c>
      <c r="G120" s="224">
        <v>174</v>
      </c>
      <c r="H120" s="192" t="s">
        <v>110</v>
      </c>
      <c r="I120" s="224">
        <v>174</v>
      </c>
      <c r="J120" s="192" t="s">
        <v>110</v>
      </c>
      <c r="K120" s="224">
        <v>174</v>
      </c>
      <c r="L120" s="192" t="s">
        <v>110</v>
      </c>
    </row>
    <row r="121" spans="2:12" ht="12.75">
      <c r="B121" s="51" t="s">
        <v>114</v>
      </c>
      <c r="C121" s="24"/>
      <c r="D121" s="24"/>
      <c r="E121" s="222">
        <f>E109-E48</f>
        <v>0</v>
      </c>
      <c r="F121" s="194" t="s">
        <v>110</v>
      </c>
      <c r="G121" s="222">
        <f>G109-G48</f>
        <v>0</v>
      </c>
      <c r="H121" s="194" t="s">
        <v>110</v>
      </c>
      <c r="I121" s="222">
        <f>I109-I48</f>
        <v>0</v>
      </c>
      <c r="J121" s="194" t="s">
        <v>110</v>
      </c>
      <c r="K121" s="222">
        <f>K109-K48</f>
        <v>0</v>
      </c>
      <c r="L121" s="194" t="s">
        <v>110</v>
      </c>
    </row>
    <row r="122" spans="2:12" ht="13.5" thickBot="1">
      <c r="B122" s="34" t="s">
        <v>115</v>
      </c>
      <c r="C122" s="26"/>
      <c r="D122" s="26"/>
      <c r="E122" s="223">
        <f>+E120-E121</f>
        <v>174</v>
      </c>
      <c r="F122" s="207" t="s">
        <v>110</v>
      </c>
      <c r="G122" s="223">
        <f>+G120-G121</f>
        <v>174</v>
      </c>
      <c r="H122" s="207" t="s">
        <v>110</v>
      </c>
      <c r="I122" s="223">
        <f>+I120-I121</f>
        <v>174</v>
      </c>
      <c r="J122" s="207" t="s">
        <v>110</v>
      </c>
      <c r="K122" s="223">
        <f>+K120-K121</f>
        <v>174</v>
      </c>
      <c r="L122" s="207" t="s">
        <v>110</v>
      </c>
    </row>
    <row r="124" ht="12.75">
      <c r="B124" s="44"/>
    </row>
  </sheetData>
  <mergeCells count="8">
    <mergeCell ref="E1:F1"/>
    <mergeCell ref="E51:F51"/>
    <mergeCell ref="G1:H1"/>
    <mergeCell ref="G51:H51"/>
    <mergeCell ref="K1:L1"/>
    <mergeCell ref="K51:L51"/>
    <mergeCell ref="I1:J1"/>
    <mergeCell ref="I51:J51"/>
  </mergeCells>
  <printOptions/>
  <pageMargins left="0.65" right="0.65" top="0.67" bottom="0.36" header="0.27" footer="0.27"/>
  <pageSetup horizontalDpi="600" verticalDpi="600" orientation="portrait" paperSize="9" scale="90" r:id="rId1"/>
  <headerFooter alignWithMargins="0">
    <oddHeader xml:space="preserve">&amp;C&amp;"Arial Black,Obyčejné"&amp;12III.úprava rozpočtu města Blovice na r.2011 schválená ZM 15.6.2011&amp;Rč.j.09291/11 </oddHeader>
    <oddFooter>&amp;Lvyvěšeno: 
svěšeno:
&amp;Rsestavil: Ing.Hodek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workbookViewId="0" topLeftCell="A61">
      <selection activeCell="D24" sqref="D24"/>
    </sheetView>
  </sheetViews>
  <sheetFormatPr defaultColWidth="9.140625" defaultRowHeight="12.75"/>
  <cols>
    <col min="1" max="1" width="4.7109375" style="61" customWidth="1"/>
    <col min="2" max="2" width="26.57421875" style="61" customWidth="1"/>
    <col min="3" max="3" width="9.00390625" style="61" bestFit="1" customWidth="1"/>
    <col min="4" max="4" width="8.28125" style="61" customWidth="1"/>
    <col min="5" max="5" width="9.28125" style="61" customWidth="1"/>
    <col min="6" max="6" width="9.57421875" style="61" bestFit="1" customWidth="1"/>
    <col min="7" max="16384" width="8.8515625" style="61" customWidth="1"/>
  </cols>
  <sheetData>
    <row r="2" ht="18.75" thickBot="1">
      <c r="A2" s="60" t="s">
        <v>128</v>
      </c>
    </row>
    <row r="3" spans="1:8" ht="13.5" thickBot="1">
      <c r="A3" s="62" t="s">
        <v>1</v>
      </c>
      <c r="B3" s="63" t="s">
        <v>2</v>
      </c>
      <c r="C3" s="64" t="s">
        <v>181</v>
      </c>
      <c r="D3" s="65">
        <v>2011</v>
      </c>
      <c r="E3" s="65">
        <v>2012</v>
      </c>
      <c r="F3" s="65">
        <v>2013</v>
      </c>
      <c r="G3" s="65">
        <v>2014</v>
      </c>
      <c r="H3" s="65">
        <v>2015</v>
      </c>
    </row>
    <row r="4" spans="1:8" ht="12.75">
      <c r="A4" s="66" t="s">
        <v>6</v>
      </c>
      <c r="B4" s="67" t="s">
        <v>129</v>
      </c>
      <c r="C4" s="68">
        <v>66039</v>
      </c>
      <c r="D4" s="69">
        <v>43356</v>
      </c>
      <c r="E4" s="70">
        <v>42289</v>
      </c>
      <c r="F4" s="70">
        <f aca="true" t="shared" si="0" ref="E4:G6">+E4*1.05</f>
        <v>44403.450000000004</v>
      </c>
      <c r="G4" s="70">
        <f t="shared" si="0"/>
        <v>46623.622500000005</v>
      </c>
      <c r="H4" s="70">
        <f aca="true" t="shared" si="1" ref="H4:H12">+G4*1.05</f>
        <v>48954.80362500001</v>
      </c>
    </row>
    <row r="5" spans="1:8" ht="12.75">
      <c r="A5" s="71" t="s">
        <v>13</v>
      </c>
      <c r="B5" s="72" t="s">
        <v>130</v>
      </c>
      <c r="C5" s="74">
        <v>32955</v>
      </c>
      <c r="D5" s="70">
        <v>33010</v>
      </c>
      <c r="E5" s="70">
        <v>35070</v>
      </c>
      <c r="F5" s="70">
        <f t="shared" si="0"/>
        <v>36823.5</v>
      </c>
      <c r="G5" s="70">
        <f t="shared" si="0"/>
        <v>38664.675</v>
      </c>
      <c r="H5" s="70">
        <f t="shared" si="1"/>
        <v>40597.90875</v>
      </c>
    </row>
    <row r="6" spans="1:8" ht="12.75">
      <c r="A6" s="71" t="s">
        <v>19</v>
      </c>
      <c r="B6" s="72" t="s">
        <v>131</v>
      </c>
      <c r="C6" s="74">
        <v>5771</v>
      </c>
      <c r="D6" s="70">
        <v>6155</v>
      </c>
      <c r="E6" s="70">
        <f t="shared" si="0"/>
        <v>6462.75</v>
      </c>
      <c r="F6" s="70">
        <f t="shared" si="0"/>
        <v>6785.887500000001</v>
      </c>
      <c r="G6" s="70">
        <f t="shared" si="0"/>
        <v>7125.181875000001</v>
      </c>
      <c r="H6" s="70">
        <f t="shared" si="1"/>
        <v>7481.440968750001</v>
      </c>
    </row>
    <row r="7" spans="1:8" ht="12.75">
      <c r="A7" s="71" t="s">
        <v>35</v>
      </c>
      <c r="B7" s="72" t="s">
        <v>132</v>
      </c>
      <c r="C7" s="69">
        <v>3767</v>
      </c>
      <c r="D7" s="69">
        <v>7218</v>
      </c>
      <c r="E7" s="70">
        <v>525</v>
      </c>
      <c r="F7" s="70">
        <f aca="true" t="shared" si="2" ref="F7:G12">+E7*1.05</f>
        <v>551.25</v>
      </c>
      <c r="G7" s="70">
        <f t="shared" si="2"/>
        <v>578.8125</v>
      </c>
      <c r="H7" s="70">
        <f t="shared" si="1"/>
        <v>607.7531250000001</v>
      </c>
    </row>
    <row r="8" spans="1:8" ht="12.75">
      <c r="A8" s="71" t="s">
        <v>40</v>
      </c>
      <c r="B8" s="72" t="s">
        <v>133</v>
      </c>
      <c r="C8" s="69">
        <v>1085</v>
      </c>
      <c r="D8" s="70">
        <v>1105</v>
      </c>
      <c r="E8" s="70">
        <f>+D8*1.05</f>
        <v>1160.25</v>
      </c>
      <c r="F8" s="70">
        <f t="shared" si="2"/>
        <v>1218.2625</v>
      </c>
      <c r="G8" s="70">
        <f t="shared" si="2"/>
        <v>1279.175625</v>
      </c>
      <c r="H8" s="70">
        <f t="shared" si="1"/>
        <v>1343.1344062500002</v>
      </c>
    </row>
    <row r="9" spans="1:8" ht="12.75">
      <c r="A9" s="71" t="s">
        <v>46</v>
      </c>
      <c r="B9" s="72" t="s">
        <v>134</v>
      </c>
      <c r="C9" s="74">
        <v>1257</v>
      </c>
      <c r="D9" s="70">
        <v>1100</v>
      </c>
      <c r="E9" s="70">
        <f>+D9*1.05</f>
        <v>1155</v>
      </c>
      <c r="F9" s="70">
        <f t="shared" si="2"/>
        <v>1212.75</v>
      </c>
      <c r="G9" s="70">
        <f t="shared" si="2"/>
        <v>1273.3875</v>
      </c>
      <c r="H9" s="70">
        <f t="shared" si="1"/>
        <v>1337.056875</v>
      </c>
    </row>
    <row r="10" spans="1:8" ht="12.75">
      <c r="A10" s="71" t="s">
        <v>48</v>
      </c>
      <c r="B10" s="72" t="s">
        <v>135</v>
      </c>
      <c r="C10" s="74">
        <v>750</v>
      </c>
      <c r="D10" s="70">
        <v>500</v>
      </c>
      <c r="E10" s="70">
        <f>+D10*1.05</f>
        <v>525</v>
      </c>
      <c r="F10" s="70">
        <f t="shared" si="2"/>
        <v>551.25</v>
      </c>
      <c r="G10" s="70">
        <f t="shared" si="2"/>
        <v>578.8125</v>
      </c>
      <c r="H10" s="70">
        <f t="shared" si="1"/>
        <v>607.7531250000001</v>
      </c>
    </row>
    <row r="11" spans="1:8" ht="12.75">
      <c r="A11" s="71" t="s">
        <v>50</v>
      </c>
      <c r="B11" s="72" t="s">
        <v>136</v>
      </c>
      <c r="C11" s="74">
        <v>3211</v>
      </c>
      <c r="D11" s="70">
        <v>2600</v>
      </c>
      <c r="E11" s="70">
        <v>2699</v>
      </c>
      <c r="F11" s="70">
        <f t="shared" si="2"/>
        <v>2833.9500000000003</v>
      </c>
      <c r="G11" s="70">
        <f t="shared" si="2"/>
        <v>2975.6475000000005</v>
      </c>
      <c r="H11" s="70">
        <f t="shared" si="1"/>
        <v>3124.4298750000007</v>
      </c>
    </row>
    <row r="12" spans="1:8" ht="13.5" thickBot="1">
      <c r="A12" s="75" t="s">
        <v>56</v>
      </c>
      <c r="B12" s="76" t="s">
        <v>137</v>
      </c>
      <c r="C12" s="78">
        <v>60836</v>
      </c>
      <c r="D12" s="79">
        <v>608</v>
      </c>
      <c r="E12" s="79">
        <f>+D12*1.05</f>
        <v>638.4</v>
      </c>
      <c r="F12" s="79">
        <f t="shared" si="2"/>
        <v>670.32</v>
      </c>
      <c r="G12" s="79">
        <f t="shared" si="2"/>
        <v>703.8360000000001</v>
      </c>
      <c r="H12" s="79">
        <f t="shared" si="1"/>
        <v>739.0278000000002</v>
      </c>
    </row>
    <row r="13" spans="1:8" ht="13.5" thickBot="1">
      <c r="A13" s="80"/>
      <c r="B13" s="80" t="s">
        <v>107</v>
      </c>
      <c r="C13" s="81">
        <f aca="true" t="shared" si="3" ref="C13:H13">SUM(C4:C12)</f>
        <v>175671</v>
      </c>
      <c r="D13" s="82">
        <f t="shared" si="3"/>
        <v>95652</v>
      </c>
      <c r="E13" s="82">
        <f t="shared" si="3"/>
        <v>90524.4</v>
      </c>
      <c r="F13" s="82">
        <f t="shared" si="3"/>
        <v>95050.62000000001</v>
      </c>
      <c r="G13" s="82">
        <f t="shared" si="3"/>
        <v>99803.15100000001</v>
      </c>
      <c r="H13" s="82">
        <f t="shared" si="3"/>
        <v>104793.30855</v>
      </c>
    </row>
    <row r="14" spans="1:8" ht="13.5" thickBot="1">
      <c r="A14" s="83"/>
      <c r="B14" s="84" t="s">
        <v>138</v>
      </c>
      <c r="C14" s="85">
        <v>114835</v>
      </c>
      <c r="D14" s="86">
        <f>+D13-608</f>
        <v>95044</v>
      </c>
      <c r="E14" s="86">
        <f>+E13</f>
        <v>90524.4</v>
      </c>
      <c r="F14" s="86">
        <f>+F13</f>
        <v>95050.62000000001</v>
      </c>
      <c r="G14" s="86">
        <f>+G13</f>
        <v>99803.15100000001</v>
      </c>
      <c r="H14" s="86">
        <f>+H13</f>
        <v>104793.30855</v>
      </c>
    </row>
    <row r="15" spans="2:8" ht="18">
      <c r="B15" s="87"/>
      <c r="D15" s="88"/>
      <c r="E15" s="88"/>
      <c r="F15" s="89"/>
      <c r="G15" s="89"/>
      <c r="H15" s="89"/>
    </row>
    <row r="16" spans="1:8" ht="18.75" thickBot="1">
      <c r="A16" s="87" t="s">
        <v>139</v>
      </c>
      <c r="B16" s="83"/>
      <c r="D16" s="88"/>
      <c r="E16" s="88"/>
      <c r="F16" s="89"/>
      <c r="G16" s="89"/>
      <c r="H16" s="89"/>
    </row>
    <row r="17" spans="1:8" ht="13.5" thickBot="1">
      <c r="A17" s="90" t="s">
        <v>1</v>
      </c>
      <c r="B17" s="91" t="s">
        <v>2</v>
      </c>
      <c r="C17" s="92" t="s">
        <v>181</v>
      </c>
      <c r="D17" s="65">
        <v>2011</v>
      </c>
      <c r="E17" s="65">
        <v>2012</v>
      </c>
      <c r="F17" s="65">
        <v>2013</v>
      </c>
      <c r="G17" s="65">
        <v>2014</v>
      </c>
      <c r="H17" s="65">
        <v>2015</v>
      </c>
    </row>
    <row r="18" spans="1:8" ht="12.75">
      <c r="A18" s="93" t="s">
        <v>6</v>
      </c>
      <c r="B18" s="94" t="s">
        <v>140</v>
      </c>
      <c r="C18" s="95">
        <v>5447</v>
      </c>
      <c r="D18" s="96">
        <v>6451</v>
      </c>
      <c r="E18" s="96">
        <v>5266</v>
      </c>
      <c r="F18" s="96">
        <f aca="true" t="shared" si="4" ref="F18:G20">+E18*1.04</f>
        <v>5476.64</v>
      </c>
      <c r="G18" s="96">
        <f t="shared" si="4"/>
        <v>5695.7056</v>
      </c>
      <c r="H18" s="96">
        <f>+G18*1.04</f>
        <v>5923.533824</v>
      </c>
    </row>
    <row r="19" spans="1:8" ht="12.75">
      <c r="A19" s="71" t="s">
        <v>13</v>
      </c>
      <c r="B19" s="72" t="s">
        <v>141</v>
      </c>
      <c r="C19" s="97">
        <v>26979</v>
      </c>
      <c r="D19" s="70">
        <v>26392</v>
      </c>
      <c r="E19" s="70">
        <v>26526</v>
      </c>
      <c r="F19" s="70">
        <f t="shared" si="4"/>
        <v>27587.04</v>
      </c>
      <c r="G19" s="70">
        <f t="shared" si="4"/>
        <v>28690.521600000004</v>
      </c>
      <c r="H19" s="70">
        <f>+G19*1.04</f>
        <v>29838.142464000004</v>
      </c>
    </row>
    <row r="20" spans="1:8" ht="12.75">
      <c r="A20" s="71" t="s">
        <v>19</v>
      </c>
      <c r="B20" s="72" t="s">
        <v>142</v>
      </c>
      <c r="C20" s="97">
        <v>2885</v>
      </c>
      <c r="D20" s="70">
        <v>2568</v>
      </c>
      <c r="E20" s="70">
        <v>2550</v>
      </c>
      <c r="F20" s="70">
        <f t="shared" si="4"/>
        <v>2652</v>
      </c>
      <c r="G20" s="70">
        <f t="shared" si="4"/>
        <v>2758.08</v>
      </c>
      <c r="H20" s="70">
        <f>+G20*1.04</f>
        <v>2868.4032</v>
      </c>
    </row>
    <row r="21" spans="1:8" ht="12.75">
      <c r="A21" s="71" t="s">
        <v>35</v>
      </c>
      <c r="B21" s="72" t="s">
        <v>143</v>
      </c>
      <c r="C21" s="69">
        <v>29682</v>
      </c>
      <c r="D21" s="70">
        <v>59149</v>
      </c>
      <c r="E21" s="70">
        <v>9000</v>
      </c>
      <c r="F21" s="70">
        <v>12000</v>
      </c>
      <c r="G21" s="70">
        <v>13500</v>
      </c>
      <c r="H21" s="70">
        <f aca="true" t="shared" si="5" ref="G21:H26">+G21*1.04</f>
        <v>14040</v>
      </c>
    </row>
    <row r="22" spans="1:8" ht="12.75">
      <c r="A22" s="71" t="s">
        <v>40</v>
      </c>
      <c r="B22" s="72" t="s">
        <v>144</v>
      </c>
      <c r="C22" s="97">
        <v>11431</v>
      </c>
      <c r="D22" s="70">
        <v>10308</v>
      </c>
      <c r="E22" s="70">
        <v>10345</v>
      </c>
      <c r="F22" s="70">
        <f aca="true" t="shared" si="6" ref="E22:F26">+E22*1.04</f>
        <v>10758.800000000001</v>
      </c>
      <c r="G22" s="70">
        <f t="shared" si="5"/>
        <v>11189.152000000002</v>
      </c>
      <c r="H22" s="70">
        <f t="shared" si="5"/>
        <v>11636.718080000002</v>
      </c>
    </row>
    <row r="23" spans="1:8" ht="12.75">
      <c r="A23" s="71" t="s">
        <v>46</v>
      </c>
      <c r="B23" s="72" t="s">
        <v>145</v>
      </c>
      <c r="C23" s="97">
        <v>4114</v>
      </c>
      <c r="D23" s="70">
        <v>-15925</v>
      </c>
      <c r="E23" s="70">
        <v>2628</v>
      </c>
      <c r="F23" s="70">
        <v>4000</v>
      </c>
      <c r="G23" s="70">
        <f t="shared" si="5"/>
        <v>4160</v>
      </c>
      <c r="H23" s="70">
        <f t="shared" si="5"/>
        <v>4326.400000000001</v>
      </c>
    </row>
    <row r="24" spans="1:8" ht="12.75">
      <c r="A24" s="71" t="s">
        <v>48</v>
      </c>
      <c r="B24" s="72" t="s">
        <v>146</v>
      </c>
      <c r="C24" s="97">
        <v>27396</v>
      </c>
      <c r="D24" s="70">
        <v>25300</v>
      </c>
      <c r="E24" s="70">
        <f t="shared" si="6"/>
        <v>26312</v>
      </c>
      <c r="F24" s="70">
        <f t="shared" si="6"/>
        <v>27364.48</v>
      </c>
      <c r="G24" s="70">
        <f t="shared" si="5"/>
        <v>28459.0592</v>
      </c>
      <c r="H24" s="70">
        <f t="shared" si="5"/>
        <v>29597.421568</v>
      </c>
    </row>
    <row r="25" spans="1:8" ht="12.75">
      <c r="A25" s="71" t="s">
        <v>50</v>
      </c>
      <c r="B25" s="72" t="s">
        <v>134</v>
      </c>
      <c r="C25" s="97">
        <v>1729</v>
      </c>
      <c r="D25" s="70">
        <v>1200</v>
      </c>
      <c r="E25" s="70">
        <v>1560</v>
      </c>
      <c r="F25" s="70">
        <f t="shared" si="6"/>
        <v>1622.4</v>
      </c>
      <c r="G25" s="70">
        <f t="shared" si="5"/>
        <v>1687.296</v>
      </c>
      <c r="H25" s="70">
        <f t="shared" si="5"/>
        <v>1754.7878400000002</v>
      </c>
    </row>
    <row r="26" spans="1:8" ht="13.5" thickBot="1">
      <c r="A26" s="75" t="s">
        <v>56</v>
      </c>
      <c r="B26" s="76" t="s">
        <v>137</v>
      </c>
      <c r="C26" s="98">
        <v>60792</v>
      </c>
      <c r="D26" s="70">
        <v>608</v>
      </c>
      <c r="E26" s="70">
        <f t="shared" si="6"/>
        <v>632.32</v>
      </c>
      <c r="F26" s="70">
        <f t="shared" si="6"/>
        <v>657.6128000000001</v>
      </c>
      <c r="G26" s="70">
        <f t="shared" si="5"/>
        <v>683.9173120000002</v>
      </c>
      <c r="H26" s="70">
        <f t="shared" si="5"/>
        <v>711.2740044800001</v>
      </c>
    </row>
    <row r="27" spans="1:8" ht="13.5" thickBot="1">
      <c r="A27" s="80"/>
      <c r="B27" s="99" t="s">
        <v>107</v>
      </c>
      <c r="C27" s="100">
        <f aca="true" t="shared" si="7" ref="C27:H27">SUM(C18:C26)</f>
        <v>170455</v>
      </c>
      <c r="D27" s="82">
        <f t="shared" si="7"/>
        <v>116051</v>
      </c>
      <c r="E27" s="82">
        <f t="shared" si="7"/>
        <v>84819.32</v>
      </c>
      <c r="F27" s="82">
        <f t="shared" si="7"/>
        <v>92118.9728</v>
      </c>
      <c r="G27" s="82">
        <f t="shared" si="7"/>
        <v>96823.73171200002</v>
      </c>
      <c r="H27" s="82">
        <f t="shared" si="7"/>
        <v>100696.68098048001</v>
      </c>
    </row>
    <row r="28" spans="1:8" ht="13.5" thickBot="1">
      <c r="A28" s="101"/>
      <c r="B28" s="102" t="s">
        <v>138</v>
      </c>
      <c r="C28" s="103">
        <v>109619</v>
      </c>
      <c r="D28" s="103">
        <f>+D27-608</f>
        <v>115443</v>
      </c>
      <c r="E28" s="103">
        <f>+E27</f>
        <v>84819.32</v>
      </c>
      <c r="F28" s="103">
        <f>+F27</f>
        <v>92118.9728</v>
      </c>
      <c r="G28" s="103">
        <f>+G27</f>
        <v>96823.73171200002</v>
      </c>
      <c r="H28" s="103">
        <f>+H27</f>
        <v>100696.68098048001</v>
      </c>
    </row>
    <row r="30" ht="12.75">
      <c r="B30" s="104"/>
    </row>
    <row r="52" spans="2:7" ht="18">
      <c r="B52" s="247" t="s">
        <v>147</v>
      </c>
      <c r="C52" s="247"/>
      <c r="D52" s="247"/>
      <c r="E52" s="247"/>
      <c r="F52" s="247"/>
      <c r="G52" s="247"/>
    </row>
    <row r="53" ht="18.75" thickBot="1">
      <c r="B53" s="105"/>
    </row>
    <row r="54" spans="2:8" ht="13.5" thickBot="1">
      <c r="B54" s="106" t="s">
        <v>148</v>
      </c>
      <c r="C54" s="64" t="s">
        <v>181</v>
      </c>
      <c r="D54" s="64">
        <v>2011</v>
      </c>
      <c r="E54" s="64">
        <v>2012</v>
      </c>
      <c r="F54" s="64">
        <v>2013</v>
      </c>
      <c r="G54" s="64">
        <v>2014</v>
      </c>
      <c r="H54" s="64">
        <v>2015</v>
      </c>
    </row>
    <row r="55" spans="2:8" ht="13.5" thickBot="1">
      <c r="B55" s="104"/>
      <c r="C55" s="107"/>
      <c r="D55" s="107"/>
      <c r="E55" s="107"/>
      <c r="F55" s="107"/>
      <c r="G55" s="107"/>
      <c r="H55" s="107"/>
    </row>
    <row r="56" spans="2:8" ht="12.75">
      <c r="B56" s="93" t="s">
        <v>149</v>
      </c>
      <c r="C56" s="108">
        <f aca="true" t="shared" si="8" ref="C56:H56">+C14</f>
        <v>114835</v>
      </c>
      <c r="D56" s="109">
        <f t="shared" si="8"/>
        <v>95044</v>
      </c>
      <c r="E56" s="108">
        <f t="shared" si="8"/>
        <v>90524.4</v>
      </c>
      <c r="F56" s="108">
        <f t="shared" si="8"/>
        <v>95050.62000000001</v>
      </c>
      <c r="G56" s="108">
        <f t="shared" si="8"/>
        <v>99803.15100000001</v>
      </c>
      <c r="H56" s="108">
        <f t="shared" si="8"/>
        <v>104793.30855</v>
      </c>
    </row>
    <row r="57" spans="2:8" ht="13.5" thickBot="1">
      <c r="B57" s="110" t="s">
        <v>150</v>
      </c>
      <c r="C57" s="111">
        <f aca="true" t="shared" si="9" ref="C57:H57">+C28</f>
        <v>109619</v>
      </c>
      <c r="D57" s="112">
        <f t="shared" si="9"/>
        <v>115443</v>
      </c>
      <c r="E57" s="113">
        <f t="shared" si="9"/>
        <v>84819.32</v>
      </c>
      <c r="F57" s="113">
        <f t="shared" si="9"/>
        <v>92118.9728</v>
      </c>
      <c r="G57" s="113">
        <f t="shared" si="9"/>
        <v>96823.73171200002</v>
      </c>
      <c r="H57" s="113">
        <f t="shared" si="9"/>
        <v>100696.68098048001</v>
      </c>
    </row>
    <row r="58" spans="2:8" ht="13.5" thickBot="1">
      <c r="B58" s="80" t="s">
        <v>151</v>
      </c>
      <c r="C58" s="114">
        <f aca="true" t="shared" si="10" ref="C58:H58">+C56-C57</f>
        <v>5216</v>
      </c>
      <c r="D58" s="115">
        <f t="shared" si="10"/>
        <v>-20399</v>
      </c>
      <c r="E58" s="115">
        <f t="shared" si="10"/>
        <v>5705.079999999987</v>
      </c>
      <c r="F58" s="115">
        <f t="shared" si="10"/>
        <v>2931.6472000000067</v>
      </c>
      <c r="G58" s="115">
        <f t="shared" si="10"/>
        <v>2979.41928799999</v>
      </c>
      <c r="H58" s="115">
        <f t="shared" si="10"/>
        <v>4096.627569519987</v>
      </c>
    </row>
    <row r="59" spans="2:8" ht="13.5" thickBot="1">
      <c r="B59" s="104"/>
      <c r="C59" s="116"/>
      <c r="D59" s="116"/>
      <c r="E59" s="116"/>
      <c r="F59" s="116"/>
      <c r="G59" s="116"/>
      <c r="H59" s="116"/>
    </row>
    <row r="60" spans="2:8" ht="12.75">
      <c r="B60" s="117" t="s">
        <v>152</v>
      </c>
      <c r="C60" s="118">
        <f>5962+3000+3291+4762</f>
        <v>17015</v>
      </c>
      <c r="D60" s="119">
        <f>25000+3000</f>
        <v>28000</v>
      </c>
      <c r="E60" s="118"/>
      <c r="F60" s="118"/>
      <c r="G60" s="118"/>
      <c r="H60" s="118"/>
    </row>
    <row r="61" spans="2:8" ht="12.75">
      <c r="B61" s="120" t="s">
        <v>106</v>
      </c>
      <c r="C61" s="121">
        <f>-205-608-1400-3000-12200-4761</f>
        <v>-22174</v>
      </c>
      <c r="D61" s="122">
        <f>-214-608-1400-3000-3293</f>
        <v>-8515</v>
      </c>
      <c r="E61" s="121">
        <f>-224-606-1875-3000</f>
        <v>-5705</v>
      </c>
      <c r="F61" s="121">
        <f>-234-2500</f>
        <v>-2734</v>
      </c>
      <c r="G61" s="121">
        <f>-245-2500</f>
        <v>-2745</v>
      </c>
      <c r="H61" s="121">
        <f>-245-2500</f>
        <v>-2745</v>
      </c>
    </row>
    <row r="62" spans="2:8" ht="13.5" thickBot="1">
      <c r="B62" s="123" t="s">
        <v>153</v>
      </c>
      <c r="C62" s="124">
        <v>-57</v>
      </c>
      <c r="D62" s="125">
        <v>914</v>
      </c>
      <c r="E62" s="124">
        <v>0</v>
      </c>
      <c r="F62" s="124">
        <v>-198</v>
      </c>
      <c r="G62" s="124">
        <v>-234</v>
      </c>
      <c r="H62" s="124">
        <v>-1352</v>
      </c>
    </row>
    <row r="63" spans="2:8" ht="13.5" thickBot="1">
      <c r="B63" s="80" t="s">
        <v>154</v>
      </c>
      <c r="C63" s="126">
        <f aca="true" t="shared" si="11" ref="C63:H63">SUM(C60:C62)</f>
        <v>-5216</v>
      </c>
      <c r="D63" s="127">
        <f t="shared" si="11"/>
        <v>20399</v>
      </c>
      <c r="E63" s="127">
        <f t="shared" si="11"/>
        <v>-5705</v>
      </c>
      <c r="F63" s="127">
        <f t="shared" si="11"/>
        <v>-2932</v>
      </c>
      <c r="G63" s="127">
        <f t="shared" si="11"/>
        <v>-2979</v>
      </c>
      <c r="H63" s="127">
        <f t="shared" si="11"/>
        <v>-4097</v>
      </c>
    </row>
    <row r="64" spans="2:8" ht="13.5" thickBot="1">
      <c r="B64" s="128"/>
      <c r="C64" s="128"/>
      <c r="D64" s="128"/>
      <c r="E64" s="128"/>
      <c r="F64" s="128"/>
      <c r="G64" s="128"/>
      <c r="H64" s="128"/>
    </row>
    <row r="65" spans="2:8" ht="13.5" thickBot="1">
      <c r="B65" s="106" t="s">
        <v>155</v>
      </c>
      <c r="C65" s="115">
        <v>3976</v>
      </c>
      <c r="D65" s="115">
        <f>C65-D62</f>
        <v>3062</v>
      </c>
      <c r="E65" s="115">
        <f>D65-E62</f>
        <v>3062</v>
      </c>
      <c r="F65" s="115">
        <f>E65-F62</f>
        <v>3260</v>
      </c>
      <c r="G65" s="115">
        <f>F65-G62</f>
        <v>3494</v>
      </c>
      <c r="H65" s="115">
        <f>G65-H62</f>
        <v>4846</v>
      </c>
    </row>
    <row r="66" spans="2:8" ht="13.5" thickBot="1">
      <c r="B66" s="128"/>
      <c r="C66" s="128"/>
      <c r="D66" s="128"/>
      <c r="E66" s="128"/>
      <c r="F66" s="128"/>
      <c r="G66" s="128"/>
      <c r="H66" s="128"/>
    </row>
    <row r="67" spans="2:8" ht="13.5" thickBot="1">
      <c r="B67" s="106" t="s">
        <v>156</v>
      </c>
      <c r="C67" s="129">
        <v>-0.199</v>
      </c>
      <c r="D67" s="129">
        <f>(+D61-950)/D56</f>
        <v>-0.0995854551576112</v>
      </c>
      <c r="E67" s="129">
        <f>(+E61-830)/E56</f>
        <v>-0.07219048124041695</v>
      </c>
      <c r="F67" s="129">
        <f>(+F61-830)/F56</f>
        <v>-0.03749581012727744</v>
      </c>
      <c r="G67" s="129">
        <f>(+G61-830)/G56</f>
        <v>-0.03582051232029738</v>
      </c>
      <c r="H67" s="129">
        <f>(+H61-830)/H56</f>
        <v>-0.034114773638378455</v>
      </c>
    </row>
    <row r="68" spans="3:8" ht="13.5" thickBot="1">
      <c r="C68" s="61" t="s">
        <v>157</v>
      </c>
      <c r="D68" s="61" t="s">
        <v>157</v>
      </c>
      <c r="E68" s="61" t="s">
        <v>157</v>
      </c>
      <c r="F68" s="61" t="s">
        <v>157</v>
      </c>
      <c r="G68" s="61" t="s">
        <v>157</v>
      </c>
      <c r="H68" s="61" t="s">
        <v>157</v>
      </c>
    </row>
    <row r="69" spans="2:8" ht="13.5" thickBot="1">
      <c r="B69" s="130" t="s">
        <v>158</v>
      </c>
      <c r="C69" s="131">
        <v>12360</v>
      </c>
      <c r="D69" s="131">
        <f>+C69+D60+D61</f>
        <v>31845</v>
      </c>
      <c r="E69" s="131">
        <f>+D69+E60+E61</f>
        <v>26140</v>
      </c>
      <c r="F69" s="131">
        <f>+E69+F60+F61</f>
        <v>23406</v>
      </c>
      <c r="G69" s="131">
        <f>+F69+G60+G61</f>
        <v>20661</v>
      </c>
      <c r="H69" s="131">
        <f>+G69+H60+H61</f>
        <v>17916</v>
      </c>
    </row>
    <row r="70" ht="12.75">
      <c r="B70" s="61" t="s">
        <v>159</v>
      </c>
    </row>
    <row r="74" ht="15.75">
      <c r="B74" s="132" t="s">
        <v>160</v>
      </c>
    </row>
    <row r="75" spans="2:8" ht="13.5" thickBot="1">
      <c r="B75" s="88" t="s">
        <v>161</v>
      </c>
      <c r="C75" s="133" t="s">
        <v>173</v>
      </c>
      <c r="D75" s="133">
        <v>2011</v>
      </c>
      <c r="E75" s="133">
        <v>2012</v>
      </c>
      <c r="F75" s="133">
        <v>2013</v>
      </c>
      <c r="G75" s="133">
        <v>2014</v>
      </c>
      <c r="H75" s="133">
        <v>2015</v>
      </c>
    </row>
    <row r="76" spans="2:8" ht="12.75">
      <c r="B76" s="117" t="s">
        <v>162</v>
      </c>
      <c r="C76" s="134">
        <f aca="true" t="shared" si="12" ref="C76:H76">SUM(C5:C6)</f>
        <v>38726</v>
      </c>
      <c r="D76" s="134">
        <f t="shared" si="12"/>
        <v>39165</v>
      </c>
      <c r="E76" s="134">
        <f t="shared" si="12"/>
        <v>41532.75</v>
      </c>
      <c r="F76" s="135">
        <f t="shared" si="12"/>
        <v>43609.3875</v>
      </c>
      <c r="G76" s="136">
        <f t="shared" si="12"/>
        <v>45789.856875000005</v>
      </c>
      <c r="H76" s="136">
        <f t="shared" si="12"/>
        <v>48079.34971875</v>
      </c>
    </row>
    <row r="77" spans="2:8" ht="12.75">
      <c r="B77" s="53" t="s">
        <v>163</v>
      </c>
      <c r="C77" s="73">
        <f aca="true" t="shared" si="13" ref="C77:H77">+C13-C76-C78-C79</f>
        <v>67139</v>
      </c>
      <c r="D77" s="73">
        <f t="shared" si="13"/>
        <v>5913</v>
      </c>
      <c r="E77" s="73">
        <f t="shared" si="13"/>
        <v>6177.649999999994</v>
      </c>
      <c r="F77" s="137">
        <f t="shared" si="13"/>
        <v>6486.532500000008</v>
      </c>
      <c r="G77" s="74">
        <f t="shared" si="13"/>
        <v>6810.859125000003</v>
      </c>
      <c r="H77" s="74">
        <f t="shared" si="13"/>
        <v>7151.4020812499875</v>
      </c>
    </row>
    <row r="78" spans="2:8" ht="12.75">
      <c r="B78" s="53" t="s">
        <v>164</v>
      </c>
      <c r="C78" s="73">
        <f aca="true" t="shared" si="14" ref="C78:H78">+C7</f>
        <v>3767</v>
      </c>
      <c r="D78" s="73">
        <f t="shared" si="14"/>
        <v>7218</v>
      </c>
      <c r="E78" s="73">
        <f t="shared" si="14"/>
        <v>525</v>
      </c>
      <c r="F78" s="137">
        <f t="shared" si="14"/>
        <v>551.25</v>
      </c>
      <c r="G78" s="74">
        <f t="shared" si="14"/>
        <v>578.8125</v>
      </c>
      <c r="H78" s="74">
        <f t="shared" si="14"/>
        <v>607.7531250000001</v>
      </c>
    </row>
    <row r="79" spans="2:8" ht="13.5" thickBot="1">
      <c r="B79" s="138" t="s">
        <v>165</v>
      </c>
      <c r="C79" s="139">
        <f aca="true" t="shared" si="15" ref="C79:H79">+C4</f>
        <v>66039</v>
      </c>
      <c r="D79" s="139">
        <f t="shared" si="15"/>
        <v>43356</v>
      </c>
      <c r="E79" s="139">
        <f t="shared" si="15"/>
        <v>42289</v>
      </c>
      <c r="F79" s="140">
        <f t="shared" si="15"/>
        <v>44403.450000000004</v>
      </c>
      <c r="G79" s="141">
        <f t="shared" si="15"/>
        <v>46623.622500000005</v>
      </c>
      <c r="H79" s="141">
        <f t="shared" si="15"/>
        <v>48954.80362500001</v>
      </c>
    </row>
    <row r="80" spans="2:8" ht="12.75">
      <c r="B80" s="142" t="s">
        <v>149</v>
      </c>
      <c r="C80" s="143">
        <f aca="true" t="shared" si="16" ref="C80:H80">SUM(C76:C79)</f>
        <v>175671</v>
      </c>
      <c r="D80" s="143">
        <f t="shared" si="16"/>
        <v>95652</v>
      </c>
      <c r="E80" s="143">
        <f t="shared" si="16"/>
        <v>90524.4</v>
      </c>
      <c r="F80" s="144">
        <f t="shared" si="16"/>
        <v>95050.62000000001</v>
      </c>
      <c r="G80" s="145">
        <f t="shared" si="16"/>
        <v>99803.15100000001</v>
      </c>
      <c r="H80" s="145">
        <f t="shared" si="16"/>
        <v>104793.30855</v>
      </c>
    </row>
    <row r="81" spans="2:8" ht="13.5" thickBot="1">
      <c r="B81" s="146" t="s">
        <v>166</v>
      </c>
      <c r="C81" s="147">
        <f>+C80-612</f>
        <v>175059</v>
      </c>
      <c r="D81" s="147">
        <f>+D80</f>
        <v>95652</v>
      </c>
      <c r="E81" s="147">
        <f>+E80</f>
        <v>90524.4</v>
      </c>
      <c r="F81" s="148">
        <f>+F80</f>
        <v>95050.62000000001</v>
      </c>
      <c r="G81" s="149">
        <f>+G80</f>
        <v>99803.15100000001</v>
      </c>
      <c r="H81" s="149">
        <f>+H80</f>
        <v>104793.30855</v>
      </c>
    </row>
    <row r="82" spans="3:8" ht="13.5" thickBot="1">
      <c r="C82" s="150"/>
      <c r="D82" s="150"/>
      <c r="E82" s="150"/>
      <c r="F82" s="150"/>
      <c r="G82" s="150"/>
      <c r="H82" s="150"/>
    </row>
    <row r="83" spans="2:8" ht="12.75">
      <c r="B83" s="117" t="s">
        <v>167</v>
      </c>
      <c r="C83" s="134">
        <f aca="true" t="shared" si="17" ref="C83:H83">+C27-C21</f>
        <v>140773</v>
      </c>
      <c r="D83" s="134">
        <f t="shared" si="17"/>
        <v>56902</v>
      </c>
      <c r="E83" s="134">
        <f t="shared" si="17"/>
        <v>75819.32</v>
      </c>
      <c r="F83" s="135">
        <f t="shared" si="17"/>
        <v>80118.9728</v>
      </c>
      <c r="G83" s="134">
        <f t="shared" si="17"/>
        <v>83323.73171200002</v>
      </c>
      <c r="H83" s="134">
        <f t="shared" si="17"/>
        <v>86656.68098048001</v>
      </c>
    </row>
    <row r="84" spans="2:8" ht="13.5" thickBot="1">
      <c r="B84" s="138" t="s">
        <v>168</v>
      </c>
      <c r="C84" s="77">
        <f aca="true" t="shared" si="18" ref="C84:H84">+C21</f>
        <v>29682</v>
      </c>
      <c r="D84" s="77">
        <f t="shared" si="18"/>
        <v>59149</v>
      </c>
      <c r="E84" s="77">
        <f t="shared" si="18"/>
        <v>9000</v>
      </c>
      <c r="F84" s="151">
        <f t="shared" si="18"/>
        <v>12000</v>
      </c>
      <c r="G84" s="78">
        <f t="shared" si="18"/>
        <v>13500</v>
      </c>
      <c r="H84" s="78">
        <f t="shared" si="18"/>
        <v>14040</v>
      </c>
    </row>
    <row r="85" spans="2:8" ht="12.75">
      <c r="B85" s="152" t="s">
        <v>150</v>
      </c>
      <c r="C85" s="153">
        <f aca="true" t="shared" si="19" ref="C85:H85">SUM(C83:C84)</f>
        <v>170455</v>
      </c>
      <c r="D85" s="153">
        <f t="shared" si="19"/>
        <v>116051</v>
      </c>
      <c r="E85" s="153">
        <f t="shared" si="19"/>
        <v>84819.32</v>
      </c>
      <c r="F85" s="154">
        <f t="shared" si="19"/>
        <v>92118.9728</v>
      </c>
      <c r="G85" s="155">
        <f t="shared" si="19"/>
        <v>96823.73171200002</v>
      </c>
      <c r="H85" s="155">
        <f t="shared" si="19"/>
        <v>100696.68098048001</v>
      </c>
    </row>
    <row r="86" spans="2:8" ht="13.5" thickBot="1">
      <c r="B86" s="146" t="s">
        <v>169</v>
      </c>
      <c r="C86" s="147">
        <f>+C85-612</f>
        <v>169843</v>
      </c>
      <c r="D86" s="147">
        <f>+D85</f>
        <v>116051</v>
      </c>
      <c r="E86" s="147">
        <f>+E85</f>
        <v>84819.32</v>
      </c>
      <c r="F86" s="148">
        <f>+F85</f>
        <v>92118.9728</v>
      </c>
      <c r="G86" s="149">
        <f>+G85</f>
        <v>96823.73171200002</v>
      </c>
      <c r="H86" s="149">
        <f>+H85</f>
        <v>100696.68098048001</v>
      </c>
    </row>
    <row r="87" spans="3:8" ht="13.5" thickBot="1">
      <c r="C87" s="150"/>
      <c r="D87" s="150"/>
      <c r="E87" s="150"/>
      <c r="F87" s="150"/>
      <c r="G87" s="150"/>
      <c r="H87" s="150"/>
    </row>
    <row r="88" spans="2:8" ht="13.5" thickBot="1">
      <c r="B88" s="156" t="s">
        <v>170</v>
      </c>
      <c r="C88" s="157">
        <f>+C81-C86</f>
        <v>5216</v>
      </c>
      <c r="D88" s="157">
        <f>+D81-D86</f>
        <v>-20399</v>
      </c>
      <c r="E88" s="157">
        <f>+E81-E86</f>
        <v>5705.079999999987</v>
      </c>
      <c r="F88" s="158">
        <f>+F81-F86-1</f>
        <v>2930.6472000000067</v>
      </c>
      <c r="G88" s="159">
        <f>+G81-G86-1</f>
        <v>2978.41928799999</v>
      </c>
      <c r="H88" s="159">
        <f>+H81-H86-1</f>
        <v>4095.6275695199874</v>
      </c>
    </row>
    <row r="89" spans="2:8" ht="12.75">
      <c r="B89" s="160"/>
      <c r="C89" s="161"/>
      <c r="D89" s="161"/>
      <c r="E89" s="161"/>
      <c r="F89" s="161"/>
      <c r="G89" s="161"/>
      <c r="H89" s="161"/>
    </row>
    <row r="90" spans="2:8" ht="12.75">
      <c r="B90" s="88" t="s">
        <v>171</v>
      </c>
      <c r="C90" s="162">
        <f aca="true" t="shared" si="20" ref="C90:H90">+C83/C85</f>
        <v>0.8258660643571617</v>
      </c>
      <c r="D90" s="162">
        <f t="shared" si="20"/>
        <v>0.4903189115130417</v>
      </c>
      <c r="E90" s="162">
        <f t="shared" si="20"/>
        <v>0.8938920991113817</v>
      </c>
      <c r="F90" s="162">
        <f t="shared" si="20"/>
        <v>0.8697336755365991</v>
      </c>
      <c r="G90" s="162">
        <f t="shared" si="20"/>
        <v>0.8605713727275516</v>
      </c>
      <c r="H90" s="162">
        <f t="shared" si="20"/>
        <v>0.8605713727275515</v>
      </c>
    </row>
    <row r="91" spans="2:8" ht="12.75">
      <c r="B91" s="88" t="s">
        <v>172</v>
      </c>
      <c r="C91" s="162">
        <f aca="true" t="shared" si="21" ref="C91:H91">+C84/C85</f>
        <v>0.17413393564283827</v>
      </c>
      <c r="D91" s="162">
        <f t="shared" si="21"/>
        <v>0.5096810884869584</v>
      </c>
      <c r="E91" s="162">
        <f t="shared" si="21"/>
        <v>0.1061079008886183</v>
      </c>
      <c r="F91" s="162">
        <f t="shared" si="21"/>
        <v>0.13026632446340086</v>
      </c>
      <c r="G91" s="162">
        <f t="shared" si="21"/>
        <v>0.13942862727244848</v>
      </c>
      <c r="H91" s="162">
        <f t="shared" si="21"/>
        <v>0.13942862727244848</v>
      </c>
    </row>
    <row r="92" spans="4:6" ht="12.75">
      <c r="D92" s="163"/>
      <c r="E92" s="163"/>
      <c r="F92" s="163"/>
    </row>
  </sheetData>
  <mergeCells count="1">
    <mergeCell ref="B52:G52"/>
  </mergeCells>
  <printOptions/>
  <pageMargins left="0.58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- schválený ZM 15.6.2011
</oddHeader>
    <oddFooter>&amp;Lvyvěšeno: 
svěšeno:&amp;Rsestavil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Michal Hodek</cp:lastModifiedBy>
  <cp:lastPrinted>2011-06-20T15:07:38Z</cp:lastPrinted>
  <dcterms:created xsi:type="dcterms:W3CDTF">2010-07-29T07:43:39Z</dcterms:created>
  <dcterms:modified xsi:type="dcterms:W3CDTF">2011-06-21T17:06:49Z</dcterms:modified>
  <cp:category/>
  <cp:version/>
  <cp:contentType/>
  <cp:contentStatus/>
</cp:coreProperties>
</file>