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9980" windowHeight="9468" activeTab="0"/>
  </bookViews>
  <sheets>
    <sheet name="Příjmy_Výdaje" sheetId="1" r:id="rId1"/>
    <sheet name="výhled 2010_14" sheetId="2" r:id="rId2"/>
  </sheets>
  <definedNames>
    <definedName name="_xlnm.Print_Area" localSheetId="0">'Příjmy_Výdaje'!$A$1:$J$119</definedName>
    <definedName name="_xlnm.Print_Area" localSheetId="1">'výhled 2010_14'!$A$1:$H$88</definedName>
  </definedNames>
  <calcPr fullCalcOnLoad="1"/>
</workbook>
</file>

<file path=xl/sharedStrings.xml><?xml version="1.0" encoding="utf-8"?>
<sst xmlns="http://schemas.openxmlformats.org/spreadsheetml/2006/main" count="275" uniqueCount="187">
  <si>
    <t xml:space="preserve">Příjmy - tis.Kč </t>
  </si>
  <si>
    <t>kap</t>
  </si>
  <si>
    <t>titul</t>
  </si>
  <si>
    <t>č.</t>
  </si>
  <si>
    <t>podtitul</t>
  </si>
  <si>
    <t>celkem</t>
  </si>
  <si>
    <t>I.</t>
  </si>
  <si>
    <t>DOTACE</t>
  </si>
  <si>
    <t>výkon st.správy</t>
  </si>
  <si>
    <t>školství (KúPK+obce)</t>
  </si>
  <si>
    <t>soc. dávky</t>
  </si>
  <si>
    <t>rekonstrukce polikliniky (ROP)</t>
  </si>
  <si>
    <t>LD_knihovna (ROP)</t>
  </si>
  <si>
    <t>ostatní (ÚP, LČR, KúPK)</t>
  </si>
  <si>
    <t>II.</t>
  </si>
  <si>
    <t>DANĚ</t>
  </si>
  <si>
    <t>z nemovitosti</t>
  </si>
  <si>
    <t>sdílené daně</t>
  </si>
  <si>
    <t>daň z P za město</t>
  </si>
  <si>
    <t>Celkem</t>
  </si>
  <si>
    <t>III.</t>
  </si>
  <si>
    <t>Popl.správní</t>
  </si>
  <si>
    <t xml:space="preserve">evidence dopravy </t>
  </si>
  <si>
    <t>evidence obyvatel</t>
  </si>
  <si>
    <t>živnostenské</t>
  </si>
  <si>
    <t>stavební</t>
  </si>
  <si>
    <t>ostatní správní popl.</t>
  </si>
  <si>
    <t xml:space="preserve">VHP </t>
  </si>
  <si>
    <t>VHP</t>
  </si>
  <si>
    <t>Popl.místní</t>
  </si>
  <si>
    <t>ze psů</t>
  </si>
  <si>
    <t>z veřejného pr.</t>
  </si>
  <si>
    <t>vstupné, ubyt.kapacita, ost.</t>
  </si>
  <si>
    <t>likv.odpadu (občané)</t>
  </si>
  <si>
    <t>ostatní poplatky</t>
  </si>
  <si>
    <t>autoškola, ryb.lístky….</t>
  </si>
  <si>
    <t>IV.</t>
  </si>
  <si>
    <t>KAP.PŘÍJMY</t>
  </si>
  <si>
    <t>prodeje bytů, staveb</t>
  </si>
  <si>
    <t>(prodeje)</t>
  </si>
  <si>
    <t>prodeje pozemků Hradiště II</t>
  </si>
  <si>
    <t>prodeje pozemků ost.</t>
  </si>
  <si>
    <t>prodeje plynovodů + inv.přísp.</t>
  </si>
  <si>
    <t>převod od byt.družstva Am.</t>
  </si>
  <si>
    <t>V.</t>
  </si>
  <si>
    <t>NÁJMY</t>
  </si>
  <si>
    <t>z nebyt. prostor - KB</t>
  </si>
  <si>
    <t>ost.nebyt.prostory, pozemky</t>
  </si>
  <si>
    <t>kotelny (TEBYT BTZ)</t>
  </si>
  <si>
    <t>nájem vodovodů a kanal. (1.JVS)</t>
  </si>
  <si>
    <t>VI.</t>
  </si>
  <si>
    <t>LESY</t>
  </si>
  <si>
    <t>VII.</t>
  </si>
  <si>
    <t>BYT.HOSP - převod</t>
  </si>
  <si>
    <t>VIII.</t>
  </si>
  <si>
    <t>ZVL.PŘÍJMY</t>
  </si>
  <si>
    <t>úroky,ostatní</t>
  </si>
  <si>
    <t>provoz městs.busu</t>
  </si>
  <si>
    <t>odpad.hospodářství</t>
  </si>
  <si>
    <t>pokuty,sankce</t>
  </si>
  <si>
    <t>ost.nahodilé příjmy</t>
  </si>
  <si>
    <t>IX.</t>
  </si>
  <si>
    <t>FONDOVÉ HOSPODAŘENÍ (SOC.FOND)</t>
  </si>
  <si>
    <t>CELKEM PŘÍJMY PŘED KONS.</t>
  </si>
  <si>
    <t>CELKEM PŘÍJMY PO KONS.</t>
  </si>
  <si>
    <t xml:space="preserve">Výdaje - tis.Kč </t>
  </si>
  <si>
    <t>ŠKOLSTVÍ</t>
  </si>
  <si>
    <t>ZŠ provoz</t>
  </si>
  <si>
    <t>ZŠ-plavecká učebna</t>
  </si>
  <si>
    <t>ZŠ-ŠJ</t>
  </si>
  <si>
    <t>ZŠ dětské dopr.hřiště</t>
  </si>
  <si>
    <t>ZUŠ</t>
  </si>
  <si>
    <t>DDM</t>
  </si>
  <si>
    <t>MŠ</t>
  </si>
  <si>
    <t>MŠ-ŠJ</t>
  </si>
  <si>
    <t>SPRÁVA MĚÚ</t>
  </si>
  <si>
    <t>Měú Blovice</t>
  </si>
  <si>
    <t>KULTURA/SPORT</t>
  </si>
  <si>
    <t>knihovna</t>
  </si>
  <si>
    <t>Sokol</t>
  </si>
  <si>
    <t>ost.spolky+kult.akce</t>
  </si>
  <si>
    <t>ROZVOJ MĚSTA</t>
  </si>
  <si>
    <t xml:space="preserve">"Čistá Berounka" </t>
  </si>
  <si>
    <t>infrastruktura Hradiště II</t>
  </si>
  <si>
    <t xml:space="preserve">plyn Luční </t>
  </si>
  <si>
    <t>územní plán Blovice</t>
  </si>
  <si>
    <t>ÚDRŽBA MĚSTA</t>
  </si>
  <si>
    <t>voda, kanal., plyn</t>
  </si>
  <si>
    <t>opravy MK+dopr.zn.+havárie</t>
  </si>
  <si>
    <t xml:space="preserve">úklid, zimní údržba </t>
  </si>
  <si>
    <t>zeleň, hřbitov, WC</t>
  </si>
  <si>
    <t>odpad</t>
  </si>
  <si>
    <t>prac.četa města</t>
  </si>
  <si>
    <t>věř.osvětlení</t>
  </si>
  <si>
    <t>SDH Blovice - provoz</t>
  </si>
  <si>
    <t xml:space="preserve">oprava kolowr.kaple </t>
  </si>
  <si>
    <t>RŮZNÉ VÝDAJE</t>
  </si>
  <si>
    <t>odvody FÚ</t>
  </si>
  <si>
    <t>dopr.obslužnost+BUS</t>
  </si>
  <si>
    <t>čistírna</t>
  </si>
  <si>
    <t>úroky z úvěrů</t>
  </si>
  <si>
    <t>odvod daně Fú (DPPO+DPH)</t>
  </si>
  <si>
    <t>Mikroregion - fin.spoluúčast</t>
  </si>
  <si>
    <t>"Čistá Berounka" provoz svazku</t>
  </si>
  <si>
    <t>ostatní výdaje</t>
  </si>
  <si>
    <t>SOC.VĚCI</t>
  </si>
  <si>
    <t>peč.služba</t>
  </si>
  <si>
    <t>CELKEM VÝDAJE PŘED KONS.</t>
  </si>
  <si>
    <t>CELKEM VÝDAJE PO KONS.</t>
  </si>
  <si>
    <t>HV PO KONSOLIDACI</t>
  </si>
  <si>
    <t>Financování</t>
  </si>
  <si>
    <t>Splátky úvěrů</t>
  </si>
  <si>
    <t>CELKEM</t>
  </si>
  <si>
    <t>Změna stavu krátk.prostředků</t>
  </si>
  <si>
    <t>tis.Kč</t>
  </si>
  <si>
    <t>Rozpuštění prostředků rozp.hosp.</t>
  </si>
  <si>
    <t>Kon.stav prostř.na účtech rozp.hosp.</t>
  </si>
  <si>
    <t>Poč.stav prostř.na fondech</t>
  </si>
  <si>
    <t>Rozpuštění prostředků fondů</t>
  </si>
  <si>
    <t xml:space="preserve">Kon.stav prostř.na fondech </t>
  </si>
  <si>
    <t>vzdělávání eGON (OPLZZ)</t>
  </si>
  <si>
    <t>LD provoz + noviny</t>
  </si>
  <si>
    <t>knihovna (ROP)</t>
  </si>
  <si>
    <t>poliklinika (ROP)</t>
  </si>
  <si>
    <t>házenkářské hřiště SOKOL</t>
  </si>
  <si>
    <t>obnova vodovodů</t>
  </si>
  <si>
    <t>pomník obětem svět.válek</t>
  </si>
  <si>
    <t>stavební úpravy Štítov hostinec</t>
  </si>
  <si>
    <t>chodník Setecká</t>
  </si>
  <si>
    <t>chodník Husova</t>
  </si>
  <si>
    <t>Poč.stav prostř.na účtech rozp.hosp.</t>
  </si>
  <si>
    <t>nevyuž.dotace 2009</t>
  </si>
  <si>
    <t>Přijaté úvěry(revolving+poliklinika+ČB)</t>
  </si>
  <si>
    <t>I.úprava</t>
  </si>
  <si>
    <t>pomník obětem svět.válek (MO)</t>
  </si>
  <si>
    <t>vinárna MKS LD</t>
  </si>
  <si>
    <t>knihovna - PK</t>
  </si>
  <si>
    <t>Štítov okna - SZIF</t>
  </si>
  <si>
    <t>příspěvek Nadace ČEZ - hřiště</t>
  </si>
  <si>
    <t>II.úprava</t>
  </si>
  <si>
    <t>ostatní</t>
  </si>
  <si>
    <t>kolowratská kaple (MK)</t>
  </si>
  <si>
    <t xml:space="preserve">Příjmy </t>
  </si>
  <si>
    <t>Dotace</t>
  </si>
  <si>
    <t>Daně</t>
  </si>
  <si>
    <t xml:space="preserve">Poplatky </t>
  </si>
  <si>
    <t>Prodeje</t>
  </si>
  <si>
    <t>Nájmy</t>
  </si>
  <si>
    <t>Lesy</t>
  </si>
  <si>
    <t>BH, převod z FRB</t>
  </si>
  <si>
    <t>Zvl. Příjmy</t>
  </si>
  <si>
    <t>Fondové hospodaření</t>
  </si>
  <si>
    <t>CELKEM PO KONS.</t>
  </si>
  <si>
    <t xml:space="preserve">Výdaje </t>
  </si>
  <si>
    <t>Školství</t>
  </si>
  <si>
    <t>Správa MěÚ</t>
  </si>
  <si>
    <t>Kultura a sport</t>
  </si>
  <si>
    <t>Rozvoj města</t>
  </si>
  <si>
    <t>Údržba města</t>
  </si>
  <si>
    <t>Různé výdaje</t>
  </si>
  <si>
    <t>Soc.věci</t>
  </si>
  <si>
    <t xml:space="preserve">Rekapitulace financování rozpočtu </t>
  </si>
  <si>
    <t>Rok</t>
  </si>
  <si>
    <t>Příjmy celkem</t>
  </si>
  <si>
    <t>Výdaje celkem</t>
  </si>
  <si>
    <t>HV (P-V)</t>
  </si>
  <si>
    <t xml:space="preserve">Přijaté úvěry </t>
  </si>
  <si>
    <t>Rozpuštění prostř.rozp.hosp.</t>
  </si>
  <si>
    <t>Financování celkem</t>
  </si>
  <si>
    <t>Fin.prostř.na b.ú.</t>
  </si>
  <si>
    <t>Dluhová služba v %</t>
  </si>
  <si>
    <t xml:space="preserve"> </t>
  </si>
  <si>
    <t>Objem zadluženosti v tis.Kč</t>
  </si>
  <si>
    <t>(nesplacené úvěry)</t>
  </si>
  <si>
    <t>Členění podle tříd rozpočtu:</t>
  </si>
  <si>
    <t>(tis.Kč)</t>
  </si>
  <si>
    <t>Daňové příjmy</t>
  </si>
  <si>
    <t>Nedaňové příjmy</t>
  </si>
  <si>
    <t>Kapitálové příjmy (prodeje)</t>
  </si>
  <si>
    <t>Přijaté transfery (dotace)</t>
  </si>
  <si>
    <t>Příjmy celkem po kons.</t>
  </si>
  <si>
    <t>Výdaje běžné</t>
  </si>
  <si>
    <t>Výdaje kapitálové (investice)</t>
  </si>
  <si>
    <t>Výdaje celkem po kons.</t>
  </si>
  <si>
    <t>HV (tis.Kč)</t>
  </si>
  <si>
    <t>výsl.2009</t>
  </si>
  <si>
    <t>Městská policie+kamerový systém</t>
  </si>
</sst>
</file>

<file path=xl/styles.xml><?xml version="1.0" encoding="utf-8"?>
<styleSheet xmlns="http://schemas.openxmlformats.org/spreadsheetml/2006/main">
  <numFmts count="4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%"/>
    <numFmt numFmtId="166" formatCode="0.0000000"/>
    <numFmt numFmtId="167" formatCode="&quot;Kč&quot;#,##0_);\(&quot;Kč&quot;#,##0\)"/>
    <numFmt numFmtId="168" formatCode="&quot;Kč&quot;#,##0_);[Red]\(&quot;Kč&quot;#,##0\)"/>
    <numFmt numFmtId="169" formatCode="&quot;Kč&quot;#,##0.00_);\(&quot;Kč&quot;#,##0.00\)"/>
    <numFmt numFmtId="170" formatCode="&quot;Kč&quot;#,##0.00_);[Red]\(&quot;Kč&quot;#,##0.00\)"/>
    <numFmt numFmtId="171" formatCode="_(&quot;Kč&quot;* #,##0_);_(&quot;Kč&quot;* \(#,##0\);_(&quot;Kč&quot;* &quot;-&quot;_);_(@_)"/>
    <numFmt numFmtId="172" formatCode="_(* #,##0_);_(* \(#,##0\);_(* &quot;-&quot;_);_(@_)"/>
    <numFmt numFmtId="173" formatCode="_(&quot;Kč&quot;* #,##0.00_);_(&quot;Kč&quot;* \(#,##0.00\);_(&quot;Kč&quot;* &quot;-&quot;??_);_(@_)"/>
    <numFmt numFmtId="174" formatCode="_(* #,##0.00_);_(* \(#,##0.00\);_(* &quot;-&quot;??_);_(@_)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.00\ &quot;Kč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"/>
    <numFmt numFmtId="186" formatCode="m/d/yyyy"/>
    <numFmt numFmtId="187" formatCode="0.00000"/>
    <numFmt numFmtId="188" formatCode="0.0000"/>
    <numFmt numFmtId="189" formatCode="_-* #,##0.0\ &quot;Kč&quot;_-;\-* #,##0.0\ &quot;Kč&quot;_-;_-* &quot;-&quot;??\ &quot;Kč&quot;_-;_-@_-"/>
    <numFmt numFmtId="190" formatCode="_-* #,##0\ &quot;Kč&quot;_-;\-* #,##0\ &quot;Kč&quot;_-;_-* &quot;-&quot;??\ &quot;Kč&quot;_-;_-@_-"/>
    <numFmt numFmtId="191" formatCode="#,##0.00\ [$Kč-405]"/>
    <numFmt numFmtId="192" formatCode="#,##0.000\ [$Kč-405]"/>
    <numFmt numFmtId="193" formatCode="#,##0.0\ [$Kč-405]"/>
    <numFmt numFmtId="194" formatCode="#,##0\ [$Kč-405]"/>
    <numFmt numFmtId="195" formatCode="&quot;Kč&quot;#,##0"/>
    <numFmt numFmtId="196" formatCode="[$ESP]\ #,##0.00"/>
    <numFmt numFmtId="197" formatCode="0.000%"/>
    <numFmt numFmtId="198" formatCode="0.00000000"/>
    <numFmt numFmtId="199" formatCode="0.000000"/>
    <numFmt numFmtId="200" formatCode="_-* #,##0.000\ &quot;Kč&quot;_-;\-* #,##0.000\ &quot;Kč&quot;_-;_-* &quot;-&quot;??\ &quot;Kč&quot;_-;_-@_-"/>
    <numFmt numFmtId="201" formatCode="0.00;[Red]0.00"/>
    <numFmt numFmtId="202" formatCode="yyyy"/>
    <numFmt numFmtId="203" formatCode="[$-405]d\.\ mmmm\ yyyy"/>
    <numFmt numFmtId="204" formatCode="mmm/yyyy"/>
  </numFmts>
  <fonts count="23"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0"/>
    </font>
    <font>
      <b/>
      <sz val="14"/>
      <name val="Arial CE"/>
      <family val="2"/>
    </font>
    <font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2"/>
    </font>
    <font>
      <b/>
      <sz val="10"/>
      <color indexed="8"/>
      <name val="Arial CE"/>
      <family val="0"/>
    </font>
    <font>
      <b/>
      <u val="single"/>
      <sz val="10"/>
      <color indexed="8"/>
      <name val="Arial CE"/>
      <family val="0"/>
    </font>
    <font>
      <b/>
      <u val="single"/>
      <sz val="10"/>
      <name val="Arial CE"/>
      <family val="0"/>
    </font>
    <font>
      <i/>
      <sz val="10"/>
      <color indexed="8"/>
      <name val="Arial CE"/>
      <family val="0"/>
    </font>
    <font>
      <sz val="10"/>
      <color indexed="8"/>
      <name val="Arial CE"/>
      <family val="0"/>
    </font>
    <font>
      <u val="single"/>
      <sz val="10"/>
      <color indexed="8"/>
      <name val="Arial CE"/>
      <family val="0"/>
    </font>
    <font>
      <u val="single"/>
      <sz val="10"/>
      <name val="Arial CE"/>
      <family val="0"/>
    </font>
    <font>
      <b/>
      <i/>
      <sz val="10"/>
      <color indexed="8"/>
      <name val="Arial CE"/>
      <family val="2"/>
    </font>
    <font>
      <b/>
      <sz val="9"/>
      <name val="Arial CE"/>
      <family val="2"/>
    </font>
    <font>
      <b/>
      <sz val="12"/>
      <name val="Arial CE"/>
      <family val="0"/>
    </font>
    <font>
      <b/>
      <i/>
      <sz val="14"/>
      <name val="Arial CE"/>
      <family val="2"/>
    </font>
    <font>
      <sz val="20"/>
      <name val="Arial CE"/>
      <family val="0"/>
    </font>
    <font>
      <sz val="16.5"/>
      <name val="Arial CE"/>
      <family val="0"/>
    </font>
    <font>
      <sz val="11.25"/>
      <name val="Arial CE"/>
      <family val="2"/>
    </font>
    <font>
      <sz val="8.75"/>
      <name val="Arial CE"/>
      <family val="0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Fill="1" applyBorder="1" applyAlignment="1">
      <alignment/>
    </xf>
    <xf numFmtId="1" fontId="8" fillId="0" borderId="10" xfId="0" applyNumberFormat="1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Fill="1" applyBorder="1" applyAlignment="1">
      <alignment/>
    </xf>
    <xf numFmtId="1" fontId="8" fillId="0" borderId="19" xfId="0" applyNumberFormat="1" applyFont="1" applyFill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0" fillId="0" borderId="23" xfId="0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1" fontId="9" fillId="0" borderId="29" xfId="0" applyNumberFormat="1" applyFont="1" applyFill="1" applyBorder="1" applyAlignment="1">
      <alignment/>
    </xf>
    <xf numFmtId="0" fontId="6" fillId="0" borderId="16" xfId="0" applyFont="1" applyFill="1" applyBorder="1" applyAlignment="1">
      <alignment/>
    </xf>
    <xf numFmtId="1" fontId="9" fillId="0" borderId="19" xfId="0" applyNumberFormat="1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1" fontId="6" fillId="0" borderId="19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" fontId="6" fillId="0" borderId="30" xfId="0" applyNumberFormat="1" applyFont="1" applyFill="1" applyBorder="1" applyAlignment="1">
      <alignment/>
    </xf>
    <xf numFmtId="0" fontId="0" fillId="0" borderId="31" xfId="0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33" xfId="0" applyFont="1" applyBorder="1" applyAlignment="1">
      <alignment/>
    </xf>
    <xf numFmtId="0" fontId="6" fillId="0" borderId="34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1" fontId="6" fillId="0" borderId="35" xfId="0" applyNumberFormat="1" applyFont="1" applyFill="1" applyBorder="1" applyAlignment="1">
      <alignment/>
    </xf>
    <xf numFmtId="1" fontId="10" fillId="0" borderId="29" xfId="0" applyNumberFormat="1" applyFont="1" applyFill="1" applyBorder="1" applyAlignment="1">
      <alignment/>
    </xf>
    <xf numFmtId="1" fontId="10" fillId="0" borderId="19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1" xfId="0" applyFont="1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6" fillId="0" borderId="38" xfId="0" applyFont="1" applyFill="1" applyBorder="1" applyAlignment="1">
      <alignment/>
    </xf>
    <xf numFmtId="0" fontId="0" fillId="0" borderId="29" xfId="0" applyFill="1" applyBorder="1" applyAlignment="1">
      <alignment/>
    </xf>
    <xf numFmtId="1" fontId="6" fillId="0" borderId="39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40" xfId="0" applyFill="1" applyBorder="1" applyAlignment="1">
      <alignment/>
    </xf>
    <xf numFmtId="0" fontId="6" fillId="0" borderId="41" xfId="0" applyFont="1" applyFill="1" applyBorder="1" applyAlignment="1">
      <alignment/>
    </xf>
    <xf numFmtId="0" fontId="0" fillId="0" borderId="19" xfId="0" applyFill="1" applyBorder="1" applyAlignment="1">
      <alignment/>
    </xf>
    <xf numFmtId="1" fontId="6" fillId="0" borderId="16" xfId="0" applyNumberFormat="1" applyFont="1" applyFill="1" applyBorder="1" applyAlignment="1">
      <alignment/>
    </xf>
    <xf numFmtId="0" fontId="6" fillId="0" borderId="20" xfId="0" applyFont="1" applyFill="1" applyBorder="1" applyAlignment="1">
      <alignment/>
    </xf>
    <xf numFmtId="1" fontId="6" fillId="0" borderId="11" xfId="0" applyNumberFormat="1" applyFont="1" applyFill="1" applyBorder="1" applyAlignment="1">
      <alignment/>
    </xf>
    <xf numFmtId="1" fontId="6" fillId="0" borderId="17" xfId="0" applyNumberFormat="1" applyFont="1" applyFill="1" applyBorder="1" applyAlignment="1">
      <alignment/>
    </xf>
    <xf numFmtId="0" fontId="8" fillId="0" borderId="40" xfId="0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1" fontId="6" fillId="0" borderId="42" xfId="0" applyNumberFormat="1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5" fillId="0" borderId="10" xfId="20" applyFont="1" applyBorder="1">
      <alignment/>
      <protection/>
    </xf>
    <xf numFmtId="0" fontId="11" fillId="0" borderId="33" xfId="0" applyFont="1" applyFill="1" applyBorder="1" applyAlignment="1">
      <alignment horizontal="center"/>
    </xf>
    <xf numFmtId="0" fontId="11" fillId="0" borderId="43" xfId="0" applyFont="1" applyFill="1" applyBorder="1" applyAlignment="1">
      <alignment horizontal="center"/>
    </xf>
    <xf numFmtId="1" fontId="5" fillId="0" borderId="44" xfId="0" applyNumberFormat="1" applyFont="1" applyFill="1" applyBorder="1" applyAlignment="1">
      <alignment/>
    </xf>
    <xf numFmtId="0" fontId="12" fillId="0" borderId="29" xfId="0" applyFont="1" applyFill="1" applyBorder="1" applyAlignment="1">
      <alignment/>
    </xf>
    <xf numFmtId="1" fontId="12" fillId="0" borderId="10" xfId="0" applyNumberFormat="1" applyFont="1" applyFill="1" applyBorder="1" applyAlignment="1">
      <alignment/>
    </xf>
    <xf numFmtId="164" fontId="12" fillId="0" borderId="40" xfId="0" applyNumberFormat="1" applyFont="1" applyFill="1" applyBorder="1" applyAlignment="1">
      <alignment/>
    </xf>
    <xf numFmtId="0" fontId="12" fillId="0" borderId="4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45" xfId="0" applyFont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1" fontId="12" fillId="0" borderId="19" xfId="0" applyNumberFormat="1" applyFont="1" applyFill="1" applyBorder="1" applyAlignment="1">
      <alignment/>
    </xf>
    <xf numFmtId="0" fontId="12" fillId="0" borderId="20" xfId="0" applyFont="1" applyFill="1" applyBorder="1" applyAlignment="1">
      <alignment/>
    </xf>
    <xf numFmtId="0" fontId="12" fillId="0" borderId="39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2" fillId="0" borderId="30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2" fillId="0" borderId="7" xfId="0" applyFont="1" applyFill="1" applyBorder="1" applyAlignment="1">
      <alignment/>
    </xf>
    <xf numFmtId="0" fontId="12" fillId="0" borderId="24" xfId="0" applyFont="1" applyFill="1" applyBorder="1" applyAlignment="1">
      <alignment/>
    </xf>
    <xf numFmtId="0" fontId="12" fillId="0" borderId="46" xfId="0" applyFont="1" applyFill="1" applyBorder="1" applyAlignment="1">
      <alignment/>
    </xf>
    <xf numFmtId="0" fontId="12" fillId="0" borderId="26" xfId="0" applyFont="1" applyFill="1" applyBorder="1" applyAlignment="1">
      <alignment/>
    </xf>
    <xf numFmtId="0" fontId="12" fillId="0" borderId="35" xfId="0" applyFont="1" applyFill="1" applyBorder="1" applyAlignment="1">
      <alignment/>
    </xf>
    <xf numFmtId="0" fontId="12" fillId="0" borderId="4" xfId="0" applyFont="1" applyFill="1" applyBorder="1" applyAlignment="1">
      <alignment/>
    </xf>
    <xf numFmtId="1" fontId="12" fillId="0" borderId="26" xfId="0" applyNumberFormat="1" applyFont="1" applyFill="1" applyBorder="1" applyAlignment="1">
      <alignment/>
    </xf>
    <xf numFmtId="1" fontId="13" fillId="0" borderId="29" xfId="0" applyNumberFormat="1" applyFont="1" applyFill="1" applyBorder="1" applyAlignment="1">
      <alignment/>
    </xf>
    <xf numFmtId="1" fontId="13" fillId="0" borderId="19" xfId="0" applyNumberFormat="1" applyFont="1" applyFill="1" applyBorder="1" applyAlignment="1">
      <alignment/>
    </xf>
    <xf numFmtId="0" fontId="11" fillId="0" borderId="26" xfId="0" applyFont="1" applyFill="1" applyBorder="1" applyAlignment="1">
      <alignment horizontal="center"/>
    </xf>
    <xf numFmtId="0" fontId="11" fillId="0" borderId="46" xfId="0" applyFont="1" applyFill="1" applyBorder="1" applyAlignment="1">
      <alignment horizontal="center"/>
    </xf>
    <xf numFmtId="1" fontId="5" fillId="0" borderId="7" xfId="0" applyNumberFormat="1" applyFont="1" applyFill="1" applyBorder="1" applyAlignment="1">
      <alignment/>
    </xf>
    <xf numFmtId="0" fontId="5" fillId="0" borderId="29" xfId="0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0" fontId="5" fillId="0" borderId="40" xfId="0" applyFont="1" applyFill="1" applyBorder="1" applyAlignment="1">
      <alignment/>
    </xf>
    <xf numFmtId="9" fontId="5" fillId="0" borderId="40" xfId="0" applyNumberFormat="1" applyFont="1" applyFill="1" applyBorder="1" applyAlignment="1">
      <alignment/>
    </xf>
    <xf numFmtId="0" fontId="5" fillId="0" borderId="16" xfId="0" applyFont="1" applyFill="1" applyBorder="1" applyAlignment="1">
      <alignment/>
    </xf>
    <xf numFmtId="1" fontId="5" fillId="0" borderId="19" xfId="0" applyNumberFormat="1" applyFont="1" applyFill="1" applyBorder="1" applyAlignment="1" applyProtection="1">
      <alignment/>
      <protection locked="0"/>
    </xf>
    <xf numFmtId="1" fontId="5" fillId="0" borderId="29" xfId="0" applyNumberFormat="1" applyFont="1" applyFill="1" applyBorder="1" applyAlignment="1">
      <alignment/>
    </xf>
    <xf numFmtId="1" fontId="5" fillId="0" borderId="40" xfId="0" applyNumberFormat="1" applyFont="1" applyFill="1" applyBorder="1" applyAlignment="1">
      <alignment/>
    </xf>
    <xf numFmtId="1" fontId="5" fillId="0" borderId="16" xfId="0" applyNumberFormat="1" applyFont="1" applyFill="1" applyBorder="1" applyAlignment="1">
      <alignment/>
    </xf>
    <xf numFmtId="1" fontId="5" fillId="0" borderId="19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1" fontId="5" fillId="0" borderId="30" xfId="0" applyNumberFormat="1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1" fontId="5" fillId="0" borderId="13" xfId="0" applyNumberFormat="1" applyFont="1" applyFill="1" applyBorder="1" applyAlignment="1">
      <alignment/>
    </xf>
    <xf numFmtId="1" fontId="12" fillId="0" borderId="20" xfId="0" applyNumberFormat="1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43" xfId="0" applyFont="1" applyFill="1" applyBorder="1" applyAlignment="1">
      <alignment/>
    </xf>
    <xf numFmtId="1" fontId="5" fillId="0" borderId="4" xfId="0" applyNumberFormat="1" applyFont="1" applyFill="1" applyBorder="1" applyAlignment="1">
      <alignment/>
    </xf>
    <xf numFmtId="1" fontId="5" fillId="0" borderId="35" xfId="0" applyNumberFormat="1" applyFont="1" applyFill="1" applyBorder="1" applyAlignment="1">
      <alignment/>
    </xf>
    <xf numFmtId="1" fontId="14" fillId="0" borderId="29" xfId="0" applyNumberFormat="1" applyFont="1" applyFill="1" applyBorder="1" applyAlignment="1">
      <alignment/>
    </xf>
    <xf numFmtId="1" fontId="14" fillId="0" borderId="19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" fontId="14" fillId="0" borderId="0" xfId="0" applyNumberFormat="1" applyFont="1" applyFill="1" applyBorder="1" applyAlignment="1">
      <alignment/>
    </xf>
    <xf numFmtId="1" fontId="5" fillId="0" borderId="1" xfId="0" applyNumberFormat="1" applyFont="1" applyFill="1" applyBorder="1" applyAlignment="1">
      <alignment/>
    </xf>
    <xf numFmtId="1" fontId="5" fillId="0" borderId="39" xfId="0" applyNumberFormat="1" applyFont="1" applyFill="1" applyBorder="1" applyAlignment="1">
      <alignment/>
    </xf>
    <xf numFmtId="1" fontId="5" fillId="0" borderId="42" xfId="0" applyNumberFormat="1" applyFont="1" applyFill="1" applyBorder="1" applyAlignment="1">
      <alignment/>
    </xf>
    <xf numFmtId="1" fontId="5" fillId="0" borderId="21" xfId="0" applyNumberFormat="1" applyFont="1" applyFill="1" applyBorder="1" applyAlignment="1">
      <alignment/>
    </xf>
    <xf numFmtId="1" fontId="5" fillId="0" borderId="11" xfId="0" applyNumberFormat="1" applyFont="1" applyFill="1" applyBorder="1" applyAlignment="1">
      <alignment/>
    </xf>
    <xf numFmtId="1" fontId="5" fillId="0" borderId="17" xfId="0" applyNumberFormat="1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6" fillId="0" borderId="40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6" fillId="0" borderId="4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45" xfId="0" applyFont="1" applyBorder="1" applyAlignment="1">
      <alignment/>
    </xf>
    <xf numFmtId="0" fontId="6" fillId="0" borderId="39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1" fontId="6" fillId="0" borderId="44" xfId="0" applyNumberFormat="1" applyFont="1" applyFill="1" applyBorder="1" applyAlignment="1">
      <alignment/>
    </xf>
    <xf numFmtId="1" fontId="6" fillId="0" borderId="7" xfId="0" applyNumberFormat="1" applyFont="1" applyFill="1" applyBorder="1" applyAlignment="1">
      <alignment/>
    </xf>
    <xf numFmtId="1" fontId="6" fillId="0" borderId="13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/>
    </xf>
    <xf numFmtId="1" fontId="8" fillId="0" borderId="13" xfId="0" applyNumberFormat="1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6" fillId="0" borderId="10" xfId="20" applyFont="1" applyBorder="1">
      <alignment/>
      <protection/>
    </xf>
    <xf numFmtId="0" fontId="4" fillId="0" borderId="0" xfId="20" applyFont="1">
      <alignment/>
      <protection/>
    </xf>
    <xf numFmtId="0" fontId="5" fillId="0" borderId="0" xfId="20">
      <alignment/>
      <protection/>
    </xf>
    <xf numFmtId="0" fontId="7" fillId="0" borderId="26" xfId="20" applyFont="1" applyBorder="1" applyAlignment="1">
      <alignment horizontal="center"/>
      <protection/>
    </xf>
    <xf numFmtId="0" fontId="7" fillId="0" borderId="28" xfId="20" applyFont="1" applyBorder="1" applyAlignment="1">
      <alignment horizontal="center"/>
      <protection/>
    </xf>
    <xf numFmtId="0" fontId="15" fillId="0" borderId="35" xfId="20" applyFont="1" applyFill="1" applyBorder="1" applyAlignment="1">
      <alignment horizontal="center"/>
      <protection/>
    </xf>
    <xf numFmtId="0" fontId="15" fillId="0" borderId="35" xfId="20" applyFont="1" applyFill="1" applyBorder="1" applyAlignment="1">
      <alignment horizontal="center"/>
      <protection/>
    </xf>
    <xf numFmtId="0" fontId="6" fillId="0" borderId="20" xfId="20" applyFont="1" applyBorder="1">
      <alignment/>
      <protection/>
    </xf>
    <xf numFmtId="0" fontId="6" fillId="0" borderId="21" xfId="20" applyFont="1" applyBorder="1">
      <alignment/>
      <protection/>
    </xf>
    <xf numFmtId="1" fontId="5" fillId="0" borderId="21" xfId="20" applyNumberFormat="1" applyBorder="1">
      <alignment/>
      <protection/>
    </xf>
    <xf numFmtId="1" fontId="5" fillId="0" borderId="39" xfId="20" applyNumberFormat="1" applyBorder="1">
      <alignment/>
      <protection/>
    </xf>
    <xf numFmtId="1" fontId="5" fillId="0" borderId="42" xfId="20" applyNumberFormat="1" applyFont="1" applyBorder="1">
      <alignment/>
      <protection/>
    </xf>
    <xf numFmtId="1" fontId="5" fillId="0" borderId="40" xfId="20" applyNumberFormat="1" applyFont="1" applyBorder="1">
      <alignment/>
      <protection/>
    </xf>
    <xf numFmtId="0" fontId="6" fillId="0" borderId="10" xfId="20" applyFont="1" applyBorder="1">
      <alignment/>
      <protection/>
    </xf>
    <xf numFmtId="0" fontId="6" fillId="0" borderId="11" xfId="20" applyFont="1" applyBorder="1">
      <alignment/>
      <protection/>
    </xf>
    <xf numFmtId="1" fontId="5" fillId="0" borderId="11" xfId="20" applyNumberFormat="1" applyBorder="1">
      <alignment/>
      <protection/>
    </xf>
    <xf numFmtId="1" fontId="5" fillId="0" borderId="40" xfId="20" applyNumberFormat="1" applyBorder="1">
      <alignment/>
      <protection/>
    </xf>
    <xf numFmtId="0" fontId="6" fillId="0" borderId="16" xfId="20" applyFont="1" applyFill="1" applyBorder="1">
      <alignment/>
      <protection/>
    </xf>
    <xf numFmtId="0" fontId="6" fillId="0" borderId="17" xfId="20" applyFont="1" applyBorder="1">
      <alignment/>
      <protection/>
    </xf>
    <xf numFmtId="1" fontId="5" fillId="0" borderId="17" xfId="20" applyNumberFormat="1" applyBorder="1">
      <alignment/>
      <protection/>
    </xf>
    <xf numFmtId="1" fontId="5" fillId="0" borderId="19" xfId="20" applyNumberFormat="1" applyBorder="1">
      <alignment/>
      <protection/>
    </xf>
    <xf numFmtId="1" fontId="5" fillId="0" borderId="47" xfId="20" applyNumberFormat="1" applyFont="1" applyBorder="1">
      <alignment/>
      <protection/>
    </xf>
    <xf numFmtId="1" fontId="5" fillId="0" borderId="30" xfId="20" applyNumberFormat="1" applyFont="1" applyBorder="1">
      <alignment/>
      <protection/>
    </xf>
    <xf numFmtId="0" fontId="6" fillId="0" borderId="41" xfId="20" applyFont="1" applyBorder="1">
      <alignment/>
      <protection/>
    </xf>
    <xf numFmtId="1" fontId="8" fillId="0" borderId="43" xfId="20" applyNumberFormat="1" applyFont="1" applyFill="1" applyBorder="1">
      <alignment/>
      <protection/>
    </xf>
    <xf numFmtId="1" fontId="8" fillId="0" borderId="35" xfId="20" applyNumberFormat="1" applyFont="1" applyFill="1" applyBorder="1">
      <alignment/>
      <protection/>
    </xf>
    <xf numFmtId="0" fontId="16" fillId="0" borderId="0" xfId="20" applyFont="1" applyBorder="1" applyAlignment="1">
      <alignment/>
      <protection/>
    </xf>
    <xf numFmtId="0" fontId="6" fillId="0" borderId="1" xfId="20" applyFont="1" applyBorder="1" applyAlignment="1">
      <alignment/>
      <protection/>
    </xf>
    <xf numFmtId="1" fontId="8" fillId="0" borderId="43" xfId="20" applyNumberFormat="1" applyFont="1" applyFill="1" applyBorder="1" applyAlignment="1">
      <alignment/>
      <protection/>
    </xf>
    <xf numFmtId="1" fontId="8" fillId="0" borderId="43" xfId="20" applyNumberFormat="1" applyFont="1" applyFill="1" applyBorder="1" applyAlignment="1">
      <alignment/>
      <protection/>
    </xf>
    <xf numFmtId="0" fontId="4" fillId="0" borderId="0" xfId="20" applyFont="1" applyBorder="1" applyAlignment="1">
      <alignment/>
      <protection/>
    </xf>
    <xf numFmtId="0" fontId="5" fillId="0" borderId="0" xfId="20" applyFont="1">
      <alignment/>
      <protection/>
    </xf>
    <xf numFmtId="0" fontId="6" fillId="0" borderId="0" xfId="20" applyFont="1">
      <alignment/>
      <protection/>
    </xf>
    <xf numFmtId="0" fontId="7" fillId="0" borderId="4" xfId="20" applyFont="1" applyBorder="1" applyAlignment="1">
      <alignment horizontal="center"/>
      <protection/>
    </xf>
    <xf numFmtId="0" fontId="7" fillId="0" borderId="6" xfId="20" applyFont="1" applyBorder="1" applyAlignment="1">
      <alignment horizontal="center"/>
      <protection/>
    </xf>
    <xf numFmtId="0" fontId="15" fillId="0" borderId="48" xfId="20" applyFont="1" applyFill="1" applyBorder="1" applyAlignment="1">
      <alignment horizontal="center"/>
      <protection/>
    </xf>
    <xf numFmtId="0" fontId="6" fillId="0" borderId="7" xfId="20" applyFont="1" applyBorder="1">
      <alignment/>
      <protection/>
    </xf>
    <xf numFmtId="0" fontId="6" fillId="0" borderId="8" xfId="20" applyFont="1" applyBorder="1">
      <alignment/>
      <protection/>
    </xf>
    <xf numFmtId="1" fontId="5" fillId="0" borderId="8" xfId="20" applyNumberFormat="1" applyFont="1" applyBorder="1">
      <alignment/>
      <protection/>
    </xf>
    <xf numFmtId="1" fontId="5" fillId="0" borderId="29" xfId="20" applyNumberFormat="1" applyFont="1" applyBorder="1">
      <alignment/>
      <protection/>
    </xf>
    <xf numFmtId="1" fontId="5" fillId="0" borderId="49" xfId="20" applyNumberFormat="1" applyFont="1" applyBorder="1">
      <alignment/>
      <protection/>
    </xf>
    <xf numFmtId="1" fontId="5" fillId="0" borderId="39" xfId="20" applyNumberFormat="1" applyFont="1" applyBorder="1">
      <alignment/>
      <protection/>
    </xf>
    <xf numFmtId="1" fontId="5" fillId="0" borderId="11" xfId="20" applyNumberFormat="1" applyFont="1" applyBorder="1">
      <alignment/>
      <protection/>
    </xf>
    <xf numFmtId="1" fontId="5" fillId="0" borderId="40" xfId="20" applyNumberFormat="1" applyFont="1" applyBorder="1">
      <alignment/>
      <protection/>
    </xf>
    <xf numFmtId="1" fontId="5" fillId="0" borderId="17" xfId="20" applyNumberFormat="1" applyFont="1" applyBorder="1">
      <alignment/>
      <protection/>
    </xf>
    <xf numFmtId="1" fontId="5" fillId="0" borderId="19" xfId="20" applyNumberFormat="1" applyFont="1" applyBorder="1">
      <alignment/>
      <protection/>
    </xf>
    <xf numFmtId="0" fontId="6" fillId="0" borderId="38" xfId="20" applyFont="1" applyBorder="1">
      <alignment/>
      <protection/>
    </xf>
    <xf numFmtId="1" fontId="8" fillId="0" borderId="43" xfId="20" applyNumberFormat="1" applyFont="1" applyFill="1" applyBorder="1">
      <alignment/>
      <protection/>
    </xf>
    <xf numFmtId="0" fontId="5" fillId="0" borderId="0" xfId="20" applyFont="1">
      <alignment/>
      <protection/>
    </xf>
    <xf numFmtId="0" fontId="6" fillId="0" borderId="1" xfId="20" applyFont="1" applyFill="1" applyBorder="1">
      <alignment/>
      <protection/>
    </xf>
    <xf numFmtId="1" fontId="6" fillId="0" borderId="43" xfId="20" applyNumberFormat="1" applyFont="1" applyBorder="1">
      <alignment/>
      <protection/>
    </xf>
    <xf numFmtId="0" fontId="6" fillId="0" borderId="0" xfId="20" applyFont="1" applyBorder="1">
      <alignment/>
      <protection/>
    </xf>
    <xf numFmtId="0" fontId="4" fillId="0" borderId="0" xfId="20" applyFont="1" applyBorder="1" applyAlignment="1">
      <alignment horizontal="center"/>
      <protection/>
    </xf>
    <xf numFmtId="0" fontId="6" fillId="0" borderId="1" xfId="20" applyFont="1" applyBorder="1">
      <alignment/>
      <protection/>
    </xf>
    <xf numFmtId="0" fontId="15" fillId="0" borderId="0" xfId="20" applyFont="1" applyFill="1" applyBorder="1" applyAlignment="1">
      <alignment horizontal="center"/>
      <protection/>
    </xf>
    <xf numFmtId="1" fontId="12" fillId="0" borderId="8" xfId="20" applyNumberFormat="1" applyFont="1" applyFill="1" applyBorder="1">
      <alignment/>
      <protection/>
    </xf>
    <xf numFmtId="1" fontId="12" fillId="0" borderId="29" xfId="20" applyNumberFormat="1" applyFont="1" applyFill="1" applyBorder="1">
      <alignment/>
      <protection/>
    </xf>
    <xf numFmtId="1" fontId="12" fillId="0" borderId="50" xfId="20" applyNumberFormat="1" applyFont="1" applyFill="1" applyBorder="1">
      <alignment/>
      <protection/>
    </xf>
    <xf numFmtId="0" fontId="6" fillId="0" borderId="16" xfId="20" applyFont="1" applyBorder="1">
      <alignment/>
      <protection/>
    </xf>
    <xf numFmtId="1" fontId="12" fillId="0" borderId="17" xfId="20" applyNumberFormat="1" applyFont="1" applyFill="1" applyBorder="1">
      <alignment/>
      <protection/>
    </xf>
    <xf numFmtId="1" fontId="12" fillId="0" borderId="19" xfId="20" applyNumberFormat="1" applyFont="1" applyFill="1" applyBorder="1">
      <alignment/>
      <protection/>
    </xf>
    <xf numFmtId="1" fontId="12" fillId="0" borderId="47" xfId="20" applyNumberFormat="1" applyFont="1" applyFill="1" applyBorder="1">
      <alignment/>
      <protection/>
    </xf>
    <xf numFmtId="1" fontId="12" fillId="0" borderId="30" xfId="20" applyNumberFormat="1" applyFont="1" applyFill="1" applyBorder="1">
      <alignment/>
      <protection/>
    </xf>
    <xf numFmtId="1" fontId="6" fillId="0" borderId="43" xfId="20" applyNumberFormat="1" applyFont="1" applyBorder="1">
      <alignment/>
      <protection/>
    </xf>
    <xf numFmtId="1" fontId="6" fillId="0" borderId="35" xfId="20" applyNumberFormat="1" applyFont="1" applyBorder="1">
      <alignment/>
      <protection/>
    </xf>
    <xf numFmtId="1" fontId="6" fillId="0" borderId="0" xfId="20" applyNumberFormat="1" applyFont="1" applyBorder="1">
      <alignment/>
      <protection/>
    </xf>
    <xf numFmtId="0" fontId="5" fillId="0" borderId="7" xfId="20" applyFont="1" applyBorder="1">
      <alignment/>
      <protection/>
    </xf>
    <xf numFmtId="0" fontId="5" fillId="0" borderId="8" xfId="20" applyBorder="1">
      <alignment/>
      <protection/>
    </xf>
    <xf numFmtId="0" fontId="5" fillId="0" borderId="29" xfId="20" applyBorder="1">
      <alignment/>
      <protection/>
    </xf>
    <xf numFmtId="0" fontId="5" fillId="0" borderId="50" xfId="20" applyBorder="1">
      <alignment/>
      <protection/>
    </xf>
    <xf numFmtId="0" fontId="5" fillId="0" borderId="10" xfId="20" applyBorder="1">
      <alignment/>
      <protection/>
    </xf>
    <xf numFmtId="0" fontId="5" fillId="0" borderId="11" xfId="0" applyFont="1" applyFill="1" applyBorder="1" applyAlignment="1">
      <alignment/>
    </xf>
    <xf numFmtId="0" fontId="5" fillId="0" borderId="40" xfId="20" applyBorder="1">
      <alignment/>
      <protection/>
    </xf>
    <xf numFmtId="0" fontId="5" fillId="0" borderId="42" xfId="20" applyBorder="1">
      <alignment/>
      <protection/>
    </xf>
    <xf numFmtId="0" fontId="5" fillId="0" borderId="16" xfId="20" applyBorder="1">
      <alignment/>
      <protection/>
    </xf>
    <xf numFmtId="0" fontId="5" fillId="0" borderId="17" xfId="20" applyBorder="1">
      <alignment/>
      <protection/>
    </xf>
    <xf numFmtId="0" fontId="5" fillId="0" borderId="19" xfId="20" applyBorder="1">
      <alignment/>
      <protection/>
    </xf>
    <xf numFmtId="0" fontId="5" fillId="0" borderId="51" xfId="20" applyBorder="1">
      <alignment/>
      <protection/>
    </xf>
    <xf numFmtId="0" fontId="6" fillId="0" borderId="43" xfId="20" applyFont="1" applyBorder="1">
      <alignment/>
      <protection/>
    </xf>
    <xf numFmtId="0" fontId="6" fillId="0" borderId="35" xfId="20" applyFont="1" applyBorder="1">
      <alignment/>
      <protection/>
    </xf>
    <xf numFmtId="0" fontId="5" fillId="0" borderId="0" xfId="20" applyBorder="1">
      <alignment/>
      <protection/>
    </xf>
    <xf numFmtId="165" fontId="6" fillId="0" borderId="27" xfId="21" applyNumberFormat="1" applyFont="1" applyBorder="1" applyAlignment="1">
      <alignment/>
    </xf>
    <xf numFmtId="0" fontId="6" fillId="0" borderId="1" xfId="20" applyFont="1" applyFill="1" applyBorder="1">
      <alignment/>
      <protection/>
    </xf>
    <xf numFmtId="0" fontId="6" fillId="0" borderId="27" xfId="20" applyFont="1" applyFill="1" applyBorder="1">
      <alignment/>
      <protection/>
    </xf>
    <xf numFmtId="0" fontId="17" fillId="0" borderId="0" xfId="20" applyFont="1">
      <alignment/>
      <protection/>
    </xf>
    <xf numFmtId="0" fontId="15" fillId="0" borderId="14" xfId="20" applyFont="1" applyFill="1" applyBorder="1" applyAlignment="1">
      <alignment horizontal="center"/>
      <protection/>
    </xf>
    <xf numFmtId="1" fontId="5" fillId="0" borderId="8" xfId="20" applyNumberFormat="1" applyBorder="1">
      <alignment/>
      <protection/>
    </xf>
    <xf numFmtId="1" fontId="5" fillId="0" borderId="9" xfId="20" applyNumberFormat="1" applyBorder="1">
      <alignment/>
      <protection/>
    </xf>
    <xf numFmtId="1" fontId="5" fillId="0" borderId="29" xfId="20" applyNumberFormat="1" applyBorder="1">
      <alignment/>
      <protection/>
    </xf>
    <xf numFmtId="1" fontId="5" fillId="0" borderId="12" xfId="20" applyNumberFormat="1" applyBorder="1">
      <alignment/>
      <protection/>
    </xf>
    <xf numFmtId="0" fontId="5" fillId="0" borderId="16" xfId="20" applyFont="1" applyBorder="1">
      <alignment/>
      <protection/>
    </xf>
    <xf numFmtId="1" fontId="5" fillId="0" borderId="17" xfId="20" applyNumberFormat="1" applyFont="1" applyBorder="1">
      <alignment/>
      <protection/>
    </xf>
    <xf numFmtId="1" fontId="5" fillId="0" borderId="18" xfId="20" applyNumberFormat="1" applyFont="1" applyBorder="1">
      <alignment/>
      <protection/>
    </xf>
    <xf numFmtId="1" fontId="5" fillId="0" borderId="19" xfId="20" applyNumberFormat="1" applyFont="1" applyBorder="1">
      <alignment/>
      <protection/>
    </xf>
    <xf numFmtId="0" fontId="6" fillId="0" borderId="7" xfId="20" applyFont="1" applyBorder="1">
      <alignment/>
      <protection/>
    </xf>
    <xf numFmtId="1" fontId="6" fillId="0" borderId="8" xfId="20" applyNumberFormat="1" applyFont="1" applyBorder="1">
      <alignment/>
      <protection/>
    </xf>
    <xf numFmtId="1" fontId="6" fillId="0" borderId="9" xfId="20" applyNumberFormat="1" applyFont="1" applyBorder="1">
      <alignment/>
      <protection/>
    </xf>
    <xf numFmtId="1" fontId="6" fillId="0" borderId="29" xfId="20" applyNumberFormat="1" applyFont="1" applyBorder="1">
      <alignment/>
      <protection/>
    </xf>
    <xf numFmtId="0" fontId="6" fillId="0" borderId="16" xfId="20" applyFont="1" applyBorder="1">
      <alignment/>
      <protection/>
    </xf>
    <xf numFmtId="1" fontId="6" fillId="0" borderId="17" xfId="20" applyNumberFormat="1" applyFont="1" applyBorder="1">
      <alignment/>
      <protection/>
    </xf>
    <xf numFmtId="1" fontId="6" fillId="0" borderId="18" xfId="20" applyNumberFormat="1" applyFont="1" applyBorder="1">
      <alignment/>
      <protection/>
    </xf>
    <xf numFmtId="1" fontId="6" fillId="0" borderId="19" xfId="20" applyNumberFormat="1" applyFont="1" applyBorder="1">
      <alignment/>
      <protection/>
    </xf>
    <xf numFmtId="1" fontId="5" fillId="0" borderId="0" xfId="20" applyNumberFormat="1">
      <alignment/>
      <protection/>
    </xf>
    <xf numFmtId="1" fontId="5" fillId="0" borderId="18" xfId="20" applyNumberFormat="1" applyBorder="1">
      <alignment/>
      <protection/>
    </xf>
    <xf numFmtId="0" fontId="6" fillId="0" borderId="20" xfId="20" applyFont="1" applyBorder="1">
      <alignment/>
      <protection/>
    </xf>
    <xf numFmtId="1" fontId="6" fillId="0" borderId="21" xfId="20" applyNumberFormat="1" applyFont="1" applyBorder="1">
      <alignment/>
      <protection/>
    </xf>
    <xf numFmtId="1" fontId="6" fillId="0" borderId="22" xfId="20" applyNumberFormat="1" applyFont="1" applyBorder="1">
      <alignment/>
      <protection/>
    </xf>
    <xf numFmtId="1" fontId="6" fillId="0" borderId="39" xfId="20" applyNumberFormat="1" applyFont="1" applyBorder="1">
      <alignment/>
      <protection/>
    </xf>
    <xf numFmtId="0" fontId="6" fillId="0" borderId="26" xfId="20" applyFont="1" applyBorder="1">
      <alignment/>
      <protection/>
    </xf>
    <xf numFmtId="1" fontId="6" fillId="0" borderId="27" xfId="20" applyNumberFormat="1" applyFont="1" applyBorder="1">
      <alignment/>
      <protection/>
    </xf>
    <xf numFmtId="1" fontId="6" fillId="0" borderId="28" xfId="20" applyNumberFormat="1" applyFont="1" applyBorder="1">
      <alignment/>
      <protection/>
    </xf>
    <xf numFmtId="1" fontId="6" fillId="0" borderId="35" xfId="20" applyNumberFormat="1" applyFont="1" applyBorder="1">
      <alignment/>
      <protection/>
    </xf>
    <xf numFmtId="9" fontId="5" fillId="0" borderId="0" xfId="21" applyAlignment="1">
      <alignment/>
    </xf>
    <xf numFmtId="0" fontId="8" fillId="0" borderId="26" xfId="0" applyFont="1" applyFill="1" applyBorder="1" applyAlignment="1">
      <alignment/>
    </xf>
    <xf numFmtId="0" fontId="8" fillId="0" borderId="35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6" fillId="0" borderId="43" xfId="0" applyFont="1" applyFill="1" applyBorder="1" applyAlignment="1">
      <alignment/>
    </xf>
    <xf numFmtId="1" fontId="6" fillId="0" borderId="19" xfId="0" applyNumberFormat="1" applyFont="1" applyFill="1" applyBorder="1" applyAlignment="1" applyProtection="1">
      <alignment/>
      <protection locked="0"/>
    </xf>
    <xf numFmtId="0" fontId="6" fillId="0" borderId="7" xfId="0" applyFont="1" applyFill="1" applyBorder="1" applyAlignment="1">
      <alignment/>
    </xf>
    <xf numFmtId="14" fontId="6" fillId="0" borderId="1" xfId="0" applyNumberFormat="1" applyFont="1" applyFill="1" applyBorder="1" applyAlignment="1">
      <alignment horizontal="center"/>
    </xf>
    <xf numFmtId="14" fontId="6" fillId="0" borderId="3" xfId="0" applyNumberFormat="1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14" fontId="5" fillId="0" borderId="3" xfId="0" applyNumberFormat="1" applyFont="1" applyFill="1" applyBorder="1" applyAlignment="1">
      <alignment horizontal="center"/>
    </xf>
    <xf numFmtId="0" fontId="4" fillId="0" borderId="0" xfId="20" applyFont="1" applyBorder="1" applyAlignment="1">
      <alignment horizontal="center"/>
      <protection/>
    </xf>
    <xf numFmtId="14" fontId="5" fillId="0" borderId="1" xfId="0" applyNumberFormat="1" applyFont="1" applyFill="1" applyBorder="1" applyAlignment="1">
      <alignment horizontal="left"/>
    </xf>
    <xf numFmtId="14" fontId="5" fillId="0" borderId="3" xfId="0" applyNumberFormat="1" applyFont="1" applyFill="1" applyBorder="1" applyAlignment="1">
      <alignment horizontal="left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.úprava rozpočtu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Město Blovice - rozpočtový výhled 2010-2014
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27"/>
          <c:w val="1"/>
          <c:h val="0.86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'výhled 2010_14'!$B$56</c:f>
              <c:strCache>
                <c:ptCount val="1"/>
                <c:pt idx="0">
                  <c:v>Příjmy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'výhled 2010_14'!$C$54:$H$54</c:f>
              <c:strCache/>
            </c:strRef>
          </c:cat>
          <c:val>
            <c:numRef>
              <c:f>'výhled 2010_14'!$C$56:$H$56</c:f>
              <c:numCache/>
            </c:numRef>
          </c:val>
          <c:shape val="box"/>
        </c:ser>
        <c:ser>
          <c:idx val="1"/>
          <c:order val="1"/>
          <c:tx>
            <c:strRef>
              <c:f>'výhled 2010_14'!$B$57</c:f>
              <c:strCache>
                <c:ptCount val="1"/>
                <c:pt idx="0">
                  <c:v>Výdaje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'výhled 2010_14'!$C$54:$H$54</c:f>
              <c:strCache/>
            </c:strRef>
          </c:cat>
          <c:val>
            <c:numRef>
              <c:f>'výhled 2010_14'!$C$57:$H$57</c:f>
              <c:numCache/>
            </c:numRef>
          </c:val>
          <c:shape val="box"/>
        </c:ser>
        <c:shape val="box"/>
        <c:axId val="21927822"/>
        <c:axId val="63132671"/>
      </c:bar3DChart>
      <c:catAx>
        <c:axId val="21927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75" b="0" i="0" u="none" baseline="0"/>
            </a:pPr>
          </a:p>
        </c:txPr>
        <c:crossAx val="63132671"/>
        <c:crosses val="autoZero"/>
        <c:auto val="1"/>
        <c:lblOffset val="100"/>
        <c:noMultiLvlLbl val="0"/>
      </c:catAx>
      <c:valAx>
        <c:axId val="631326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tis.Kč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19278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8625"/>
          <c:y val="0.517"/>
          <c:w val="0.2655"/>
          <c:h val="0.1965"/>
        </c:manualLayout>
      </c:layout>
      <c:overlay val="0"/>
      <c:txPr>
        <a:bodyPr vert="horz" rot="0"/>
        <a:lstStyle/>
        <a:p>
          <a:pPr>
            <a:defRPr lang="en-US" cap="none" sz="1125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28</xdr:row>
      <xdr:rowOff>47625</xdr:rowOff>
    </xdr:from>
    <xdr:to>
      <xdr:col>7</xdr:col>
      <xdr:colOff>581025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47625" y="4848225"/>
        <a:ext cx="573405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7"/>
  <sheetViews>
    <sheetView tabSelected="1" workbookViewId="0" topLeftCell="A1">
      <selection activeCell="M6" sqref="M6"/>
    </sheetView>
  </sheetViews>
  <sheetFormatPr defaultColWidth="9.140625" defaultRowHeight="12.75"/>
  <cols>
    <col min="1" max="1" width="4.00390625" style="0" customWidth="1"/>
    <col min="2" max="2" width="16.8515625" style="0" customWidth="1"/>
    <col min="3" max="3" width="4.140625" style="0" customWidth="1"/>
    <col min="4" max="4" width="30.28125" style="0" customWidth="1"/>
    <col min="5" max="6" width="0.71875" style="148" customWidth="1"/>
    <col min="7" max="7" width="8.421875" style="148" customWidth="1"/>
    <col min="8" max="8" width="8.8515625" style="148" customWidth="1"/>
  </cols>
  <sheetData>
    <row r="1" spans="1:10" ht="18" thickBot="1">
      <c r="A1" s="1" t="s">
        <v>0</v>
      </c>
      <c r="B1" s="2"/>
      <c r="C1" s="2"/>
      <c r="D1" s="3"/>
      <c r="E1" s="288"/>
      <c r="F1" s="289"/>
      <c r="G1" s="285" t="s">
        <v>133</v>
      </c>
      <c r="H1" s="286"/>
      <c r="I1" s="283" t="s">
        <v>139</v>
      </c>
      <c r="J1" s="284"/>
    </row>
    <row r="2" spans="1:10" ht="13.5" thickBot="1">
      <c r="A2" s="4" t="s">
        <v>1</v>
      </c>
      <c r="B2" s="5" t="s">
        <v>2</v>
      </c>
      <c r="C2" s="5" t="s">
        <v>3</v>
      </c>
      <c r="D2" s="6" t="s">
        <v>4</v>
      </c>
      <c r="E2" s="84"/>
      <c r="F2" s="85"/>
      <c r="G2" s="84"/>
      <c r="H2" s="85" t="s">
        <v>5</v>
      </c>
      <c r="I2" s="84"/>
      <c r="J2" s="85" t="s">
        <v>5</v>
      </c>
    </row>
    <row r="3" spans="1:10" ht="12.75">
      <c r="A3" s="7" t="s">
        <v>6</v>
      </c>
      <c r="B3" s="8" t="s">
        <v>7</v>
      </c>
      <c r="C3" s="8">
        <v>1</v>
      </c>
      <c r="D3" s="9" t="s">
        <v>8</v>
      </c>
      <c r="E3" s="86">
        <f>13033.1+276+842</f>
        <v>14151.1</v>
      </c>
      <c r="F3" s="87"/>
      <c r="G3" s="86">
        <f>13033.1+282+842</f>
        <v>14157.1</v>
      </c>
      <c r="H3" s="87"/>
      <c r="I3" s="158">
        <f>13033.1+282+842+166</f>
        <v>14323.1</v>
      </c>
      <c r="J3" s="87"/>
    </row>
    <row r="4" spans="1:10" ht="12.75">
      <c r="A4" s="10"/>
      <c r="B4" s="11"/>
      <c r="C4" s="11">
        <f aca="true" t="shared" si="0" ref="C4:C13">+C3+1</f>
        <v>2</v>
      </c>
      <c r="D4" s="12" t="s">
        <v>9</v>
      </c>
      <c r="E4" s="88">
        <f>889.63+710</f>
        <v>1599.63</v>
      </c>
      <c r="F4" s="89"/>
      <c r="G4" s="88">
        <f>889.63+710</f>
        <v>1599.63</v>
      </c>
      <c r="H4" s="89"/>
      <c r="I4" s="88">
        <f>889.63+710</f>
        <v>1599.63</v>
      </c>
      <c r="J4" s="89"/>
    </row>
    <row r="5" spans="1:10" ht="12.75">
      <c r="A5" s="10"/>
      <c r="B5" s="11"/>
      <c r="C5" s="11">
        <f t="shared" si="0"/>
        <v>3</v>
      </c>
      <c r="D5" s="12" t="s">
        <v>10</v>
      </c>
      <c r="E5" s="88">
        <f>5500+22660-2510</f>
        <v>25650</v>
      </c>
      <c r="F5" s="90"/>
      <c r="G5" s="88">
        <f>5500+22660-2510</f>
        <v>25650</v>
      </c>
      <c r="H5" s="90"/>
      <c r="I5" s="88">
        <f>5500+22660-2510</f>
        <v>25650</v>
      </c>
      <c r="J5" s="90"/>
    </row>
    <row r="6" spans="1:10" ht="12.75">
      <c r="A6" s="14"/>
      <c r="B6" s="15"/>
      <c r="C6" s="11">
        <f t="shared" si="0"/>
        <v>4</v>
      </c>
      <c r="D6" s="16" t="s">
        <v>11</v>
      </c>
      <c r="E6" s="91">
        <v>12204</v>
      </c>
      <c r="F6" s="92"/>
      <c r="G6" s="154">
        <v>12103</v>
      </c>
      <c r="H6" s="155"/>
      <c r="I6" s="154">
        <v>12103</v>
      </c>
      <c r="J6" s="92"/>
    </row>
    <row r="7" spans="1:10" ht="12.75">
      <c r="A7" s="14"/>
      <c r="B7" s="15"/>
      <c r="C7" s="11">
        <f t="shared" si="0"/>
        <v>5</v>
      </c>
      <c r="D7" s="12" t="s">
        <v>12</v>
      </c>
      <c r="E7" s="88">
        <v>7700</v>
      </c>
      <c r="F7" s="90"/>
      <c r="G7" s="88">
        <v>7700</v>
      </c>
      <c r="H7" s="90"/>
      <c r="I7" s="88">
        <v>7700</v>
      </c>
      <c r="J7" s="90"/>
    </row>
    <row r="8" spans="1:10" ht="12.75">
      <c r="A8" s="14"/>
      <c r="B8" s="15"/>
      <c r="C8" s="11">
        <f t="shared" si="0"/>
        <v>6</v>
      </c>
      <c r="D8" s="150" t="s">
        <v>120</v>
      </c>
      <c r="E8" s="88">
        <v>450</v>
      </c>
      <c r="F8" s="90"/>
      <c r="G8" s="88">
        <f>342+268</f>
        <v>610</v>
      </c>
      <c r="H8" s="90"/>
      <c r="I8" s="88">
        <f>342+268</f>
        <v>610</v>
      </c>
      <c r="J8" s="90"/>
    </row>
    <row r="9" spans="1:10" ht="12.75">
      <c r="A9" s="14"/>
      <c r="B9" s="15"/>
      <c r="C9" s="11">
        <f t="shared" si="0"/>
        <v>7</v>
      </c>
      <c r="D9" s="150" t="s">
        <v>134</v>
      </c>
      <c r="E9" s="88"/>
      <c r="F9" s="90"/>
      <c r="G9" s="88">
        <v>200</v>
      </c>
      <c r="H9" s="90"/>
      <c r="I9" s="88">
        <v>200</v>
      </c>
      <c r="J9" s="90"/>
    </row>
    <row r="10" spans="1:10" ht="12.75">
      <c r="A10" s="14"/>
      <c r="B10" s="15"/>
      <c r="C10" s="11">
        <f t="shared" si="0"/>
        <v>8</v>
      </c>
      <c r="D10" s="156" t="s">
        <v>136</v>
      </c>
      <c r="E10" s="88"/>
      <c r="F10" s="90"/>
      <c r="G10" s="88"/>
      <c r="H10" s="90"/>
      <c r="I10" s="13">
        <v>384</v>
      </c>
      <c r="J10" s="90"/>
    </row>
    <row r="11" spans="1:10" ht="12.75">
      <c r="A11" s="14"/>
      <c r="B11" s="15"/>
      <c r="C11" s="11">
        <f t="shared" si="0"/>
        <v>9</v>
      </c>
      <c r="D11" s="150" t="s">
        <v>137</v>
      </c>
      <c r="E11" s="88"/>
      <c r="F11" s="90"/>
      <c r="G11" s="88"/>
      <c r="H11" s="90"/>
      <c r="I11" s="13">
        <v>183</v>
      </c>
      <c r="J11" s="90"/>
    </row>
    <row r="12" spans="1:10" ht="12.75">
      <c r="A12" s="14"/>
      <c r="B12" s="15"/>
      <c r="C12" s="11">
        <f t="shared" si="0"/>
        <v>10</v>
      </c>
      <c r="D12" s="28" t="s">
        <v>141</v>
      </c>
      <c r="E12" s="88"/>
      <c r="F12" s="90"/>
      <c r="G12" s="88"/>
      <c r="H12" s="90"/>
      <c r="I12" s="13">
        <v>181</v>
      </c>
      <c r="J12" s="90"/>
    </row>
    <row r="13" spans="1:10" ht="12.75">
      <c r="A13" s="14"/>
      <c r="B13" s="15"/>
      <c r="C13" s="11">
        <f t="shared" si="0"/>
        <v>11</v>
      </c>
      <c r="D13" s="16" t="s">
        <v>13</v>
      </c>
      <c r="E13" s="93">
        <f>384+189</f>
        <v>573</v>
      </c>
      <c r="F13" s="90"/>
      <c r="G13" s="93">
        <f>384+183+200</f>
        <v>767</v>
      </c>
      <c r="H13" s="90"/>
      <c r="I13" s="17">
        <f>71+13+71+378+50+49</f>
        <v>632</v>
      </c>
      <c r="J13" s="90"/>
    </row>
    <row r="14" spans="1:10" ht="13.5" thickBot="1">
      <c r="A14" s="18"/>
      <c r="B14" s="19"/>
      <c r="C14" s="19"/>
      <c r="D14" s="20" t="s">
        <v>5</v>
      </c>
      <c r="E14" s="94"/>
      <c r="F14" s="95">
        <f>SUM(E3:E13)</f>
        <v>62327.729999999996</v>
      </c>
      <c r="G14" s="94"/>
      <c r="H14" s="95">
        <f>SUM(G3:G13)</f>
        <v>62786.729999999996</v>
      </c>
      <c r="I14" s="94"/>
      <c r="J14" s="21">
        <f>SUM(I3:I13)</f>
        <v>63565.729999999996</v>
      </c>
    </row>
    <row r="15" spans="1:10" ht="12.75">
      <c r="A15" s="22" t="s">
        <v>14</v>
      </c>
      <c r="B15" s="23" t="s">
        <v>15</v>
      </c>
      <c r="C15" s="23">
        <v>1</v>
      </c>
      <c r="D15" s="24" t="s">
        <v>16</v>
      </c>
      <c r="E15" s="96">
        <v>2800</v>
      </c>
      <c r="F15" s="97"/>
      <c r="G15" s="96">
        <v>2800</v>
      </c>
      <c r="H15" s="97"/>
      <c r="I15" s="96">
        <v>2800</v>
      </c>
      <c r="J15" s="97"/>
    </row>
    <row r="16" spans="1:10" ht="12.75">
      <c r="A16" s="10"/>
      <c r="B16" s="11"/>
      <c r="C16" s="11">
        <v>2</v>
      </c>
      <c r="D16" s="12" t="s">
        <v>17</v>
      </c>
      <c r="E16" s="88">
        <v>28600</v>
      </c>
      <c r="F16" s="90"/>
      <c r="G16" s="88">
        <v>28600</v>
      </c>
      <c r="H16" s="90"/>
      <c r="I16" s="88">
        <v>28600</v>
      </c>
      <c r="J16" s="90"/>
    </row>
    <row r="17" spans="1:10" ht="12.75">
      <c r="A17" s="10"/>
      <c r="B17" s="11"/>
      <c r="C17" s="11">
        <v>3</v>
      </c>
      <c r="D17" s="12" t="s">
        <v>18</v>
      </c>
      <c r="E17" s="93">
        <v>1100</v>
      </c>
      <c r="F17" s="90"/>
      <c r="G17" s="93">
        <v>1363</v>
      </c>
      <c r="H17" s="90"/>
      <c r="I17" s="93">
        <v>1363</v>
      </c>
      <c r="J17" s="79"/>
    </row>
    <row r="18" spans="1:10" ht="13.5" thickBot="1">
      <c r="A18" s="18"/>
      <c r="B18" s="19"/>
      <c r="C18" s="19"/>
      <c r="D18" s="20" t="s">
        <v>19</v>
      </c>
      <c r="E18" s="94"/>
      <c r="F18" s="95">
        <f>SUM(E15:E17)</f>
        <v>32500</v>
      </c>
      <c r="G18" s="94"/>
      <c r="H18" s="95">
        <f>SUM(G15:G17)</f>
        <v>32763</v>
      </c>
      <c r="I18" s="82"/>
      <c r="J18" s="21">
        <f>SUM(I15:I17)</f>
        <v>32763</v>
      </c>
    </row>
    <row r="19" spans="1:10" ht="12.75">
      <c r="A19" s="10" t="s">
        <v>20</v>
      </c>
      <c r="B19" s="23" t="s">
        <v>21</v>
      </c>
      <c r="C19" s="11">
        <v>1</v>
      </c>
      <c r="D19" s="12" t="s">
        <v>22</v>
      </c>
      <c r="E19" s="93">
        <v>1400</v>
      </c>
      <c r="F19" s="90"/>
      <c r="G19" s="93">
        <v>1400</v>
      </c>
      <c r="H19" s="90"/>
      <c r="I19" s="93">
        <v>1400</v>
      </c>
      <c r="J19" s="90"/>
    </row>
    <row r="20" spans="1:10" ht="12.75">
      <c r="A20" s="10"/>
      <c r="B20" s="11"/>
      <c r="C20" s="11">
        <f aca="true" t="shared" si="1" ref="C20:C29">+C19+1</f>
        <v>2</v>
      </c>
      <c r="D20" s="12" t="s">
        <v>23</v>
      </c>
      <c r="E20" s="93">
        <v>280</v>
      </c>
      <c r="F20" s="90"/>
      <c r="G20" s="93">
        <v>280</v>
      </c>
      <c r="H20" s="90"/>
      <c r="I20" s="93">
        <v>280</v>
      </c>
      <c r="J20" s="90"/>
    </row>
    <row r="21" spans="1:10" ht="12.75">
      <c r="A21" s="10"/>
      <c r="B21" s="11"/>
      <c r="C21" s="11">
        <f t="shared" si="1"/>
        <v>3</v>
      </c>
      <c r="D21" s="12" t="s">
        <v>24</v>
      </c>
      <c r="E21" s="93">
        <v>130</v>
      </c>
      <c r="F21" s="90"/>
      <c r="G21" s="93">
        <v>130</v>
      </c>
      <c r="H21" s="90"/>
      <c r="I21" s="93">
        <v>130</v>
      </c>
      <c r="J21" s="90"/>
    </row>
    <row r="22" spans="1:10" ht="12.75">
      <c r="A22" s="10"/>
      <c r="B22" s="11"/>
      <c r="C22" s="11">
        <f t="shared" si="1"/>
        <v>4</v>
      </c>
      <c r="D22" s="12" t="s">
        <v>25</v>
      </c>
      <c r="E22" s="93">
        <v>240</v>
      </c>
      <c r="F22" s="90"/>
      <c r="G22" s="93">
        <v>240</v>
      </c>
      <c r="H22" s="90"/>
      <c r="I22" s="93">
        <v>240</v>
      </c>
      <c r="J22" s="90"/>
    </row>
    <row r="23" spans="1:10" ht="12.75">
      <c r="A23" s="10"/>
      <c r="B23" s="11"/>
      <c r="C23" s="11">
        <f t="shared" si="1"/>
        <v>5</v>
      </c>
      <c r="D23" s="12" t="s">
        <v>26</v>
      </c>
      <c r="E23" s="93">
        <v>220</v>
      </c>
      <c r="F23" s="90"/>
      <c r="G23" s="93">
        <v>220</v>
      </c>
      <c r="H23" s="90"/>
      <c r="I23" s="93">
        <v>220</v>
      </c>
      <c r="J23" s="90"/>
    </row>
    <row r="24" spans="1:10" ht="12.75">
      <c r="A24" s="10"/>
      <c r="B24" s="11" t="s">
        <v>27</v>
      </c>
      <c r="C24" s="11">
        <f t="shared" si="1"/>
        <v>6</v>
      </c>
      <c r="D24" s="12" t="s">
        <v>28</v>
      </c>
      <c r="E24" s="93">
        <v>1200</v>
      </c>
      <c r="F24" s="90"/>
      <c r="G24" s="93">
        <v>1200</v>
      </c>
      <c r="H24" s="90"/>
      <c r="I24" s="93">
        <v>1200</v>
      </c>
      <c r="J24" s="90"/>
    </row>
    <row r="25" spans="1:10" ht="12.75">
      <c r="A25" s="10"/>
      <c r="B25" s="11" t="s">
        <v>29</v>
      </c>
      <c r="C25" s="11">
        <f t="shared" si="1"/>
        <v>7</v>
      </c>
      <c r="D25" s="12" t="s">
        <v>30</v>
      </c>
      <c r="E25" s="93">
        <v>112</v>
      </c>
      <c r="F25" s="90"/>
      <c r="G25" s="93">
        <v>112</v>
      </c>
      <c r="H25" s="90"/>
      <c r="I25" s="93">
        <v>112</v>
      </c>
      <c r="J25" s="90"/>
    </row>
    <row r="26" spans="1:10" ht="12.75">
      <c r="A26" s="10"/>
      <c r="B26" s="11"/>
      <c r="C26" s="11">
        <f t="shared" si="1"/>
        <v>8</v>
      </c>
      <c r="D26" s="12" t="s">
        <v>31</v>
      </c>
      <c r="E26" s="93">
        <v>198</v>
      </c>
      <c r="F26" s="90"/>
      <c r="G26" s="93">
        <v>198</v>
      </c>
      <c r="H26" s="90"/>
      <c r="I26" s="93">
        <v>198</v>
      </c>
      <c r="J26" s="90"/>
    </row>
    <row r="27" spans="1:10" ht="12.75">
      <c r="A27" s="10"/>
      <c r="B27" s="11"/>
      <c r="C27" s="11">
        <f t="shared" si="1"/>
        <v>9</v>
      </c>
      <c r="D27" s="12" t="s">
        <v>32</v>
      </c>
      <c r="E27" s="93">
        <v>70</v>
      </c>
      <c r="F27" s="90"/>
      <c r="G27" s="93">
        <v>70</v>
      </c>
      <c r="H27" s="90"/>
      <c r="I27" s="93">
        <v>70</v>
      </c>
      <c r="J27" s="90"/>
    </row>
    <row r="28" spans="1:10" ht="12.75">
      <c r="A28" s="14"/>
      <c r="B28" s="15"/>
      <c r="C28" s="11">
        <f t="shared" si="1"/>
        <v>10</v>
      </c>
      <c r="D28" s="16" t="s">
        <v>33</v>
      </c>
      <c r="E28" s="98">
        <v>2100</v>
      </c>
      <c r="F28" s="99"/>
      <c r="G28" s="98">
        <v>2100</v>
      </c>
      <c r="H28" s="99"/>
      <c r="I28" s="98">
        <v>2100</v>
      </c>
      <c r="J28" s="99"/>
    </row>
    <row r="29" spans="1:10" ht="12.75">
      <c r="A29" s="14"/>
      <c r="B29" s="15" t="s">
        <v>34</v>
      </c>
      <c r="C29" s="11">
        <f t="shared" si="1"/>
        <v>11</v>
      </c>
      <c r="D29" s="16" t="s">
        <v>35</v>
      </c>
      <c r="E29" s="98">
        <v>270</v>
      </c>
      <c r="F29" s="99"/>
      <c r="G29" s="98">
        <v>270</v>
      </c>
      <c r="H29" s="99"/>
      <c r="I29" s="98">
        <v>270</v>
      </c>
      <c r="J29" s="99"/>
    </row>
    <row r="30" spans="1:10" ht="13.5" thickBot="1">
      <c r="A30" s="18"/>
      <c r="B30" s="19"/>
      <c r="C30" s="19"/>
      <c r="D30" s="20" t="s">
        <v>19</v>
      </c>
      <c r="E30" s="94"/>
      <c r="F30" s="100">
        <f>SUM(E19:E29)</f>
        <v>6220</v>
      </c>
      <c r="G30" s="94"/>
      <c r="H30" s="100">
        <f>SUM(G19:G29)</f>
        <v>6220</v>
      </c>
      <c r="I30" s="94"/>
      <c r="J30" s="100">
        <f>SUM(I19:I29)</f>
        <v>6220</v>
      </c>
    </row>
    <row r="31" spans="1:10" ht="12.75">
      <c r="A31" s="7" t="s">
        <v>36</v>
      </c>
      <c r="B31" s="8" t="s">
        <v>37</v>
      </c>
      <c r="C31" s="8">
        <v>1</v>
      </c>
      <c r="D31" s="9" t="s">
        <v>38</v>
      </c>
      <c r="E31" s="101">
        <v>0</v>
      </c>
      <c r="F31" s="87"/>
      <c r="G31" s="101">
        <v>50</v>
      </c>
      <c r="H31" s="87"/>
      <c r="I31" s="101">
        <v>50</v>
      </c>
      <c r="J31" s="87"/>
    </row>
    <row r="32" spans="1:10" ht="12.75">
      <c r="A32" s="10"/>
      <c r="B32" s="11" t="s">
        <v>39</v>
      </c>
      <c r="C32" s="11">
        <v>2</v>
      </c>
      <c r="D32" s="12" t="s">
        <v>40</v>
      </c>
      <c r="E32" s="93">
        <v>0</v>
      </c>
      <c r="F32" s="90"/>
      <c r="G32" s="93">
        <v>0</v>
      </c>
      <c r="H32" s="90"/>
      <c r="I32" s="93">
        <v>0</v>
      </c>
      <c r="J32" s="90"/>
    </row>
    <row r="33" spans="1:10" ht="12.75">
      <c r="A33" s="10"/>
      <c r="B33" s="26"/>
      <c r="C33" s="11">
        <v>3</v>
      </c>
      <c r="D33" s="12" t="s">
        <v>41</v>
      </c>
      <c r="E33" s="93">
        <v>100</v>
      </c>
      <c r="F33" s="90"/>
      <c r="G33" s="93">
        <v>90</v>
      </c>
      <c r="H33" s="90"/>
      <c r="I33" s="93">
        <v>90</v>
      </c>
      <c r="J33" s="90"/>
    </row>
    <row r="34" spans="1:10" ht="12.75">
      <c r="A34" s="27"/>
      <c r="C34" s="23">
        <v>4</v>
      </c>
      <c r="D34" s="28" t="s">
        <v>42</v>
      </c>
      <c r="E34" s="102">
        <v>945</v>
      </c>
      <c r="F34" s="103"/>
      <c r="G34" s="102">
        <v>945</v>
      </c>
      <c r="H34" s="103"/>
      <c r="I34" s="102">
        <v>945</v>
      </c>
      <c r="J34" s="103"/>
    </row>
    <row r="35" spans="1:10" ht="12.75">
      <c r="A35" s="14"/>
      <c r="B35" s="15"/>
      <c r="C35" s="23">
        <v>5</v>
      </c>
      <c r="D35" s="16" t="s">
        <v>43</v>
      </c>
      <c r="E35" s="98">
        <v>422</v>
      </c>
      <c r="F35" s="99"/>
      <c r="G35" s="98">
        <v>380</v>
      </c>
      <c r="H35" s="99"/>
      <c r="I35" s="98">
        <v>380</v>
      </c>
      <c r="J35" s="99"/>
    </row>
    <row r="36" spans="1:10" ht="13.5" thickBot="1">
      <c r="A36" s="18"/>
      <c r="B36" s="19"/>
      <c r="C36" s="19"/>
      <c r="D36" s="20" t="s">
        <v>19</v>
      </c>
      <c r="E36" s="94"/>
      <c r="F36" s="100">
        <f>SUM(E31:E35)</f>
        <v>1467</v>
      </c>
      <c r="G36" s="94"/>
      <c r="H36" s="100">
        <f>SUM(G31:G35)</f>
        <v>1465</v>
      </c>
      <c r="I36" s="94"/>
      <c r="J36" s="100">
        <f>SUM(I31:I35)</f>
        <v>1465</v>
      </c>
    </row>
    <row r="37" spans="1:10" ht="12.75">
      <c r="A37" s="7" t="s">
        <v>44</v>
      </c>
      <c r="B37" s="29" t="s">
        <v>45</v>
      </c>
      <c r="C37" s="29">
        <v>1</v>
      </c>
      <c r="D37" s="9" t="s">
        <v>46</v>
      </c>
      <c r="E37" s="101">
        <v>134</v>
      </c>
      <c r="F37" s="87"/>
      <c r="G37" s="101">
        <v>134</v>
      </c>
      <c r="H37" s="87"/>
      <c r="I37" s="101">
        <v>134</v>
      </c>
      <c r="J37" s="87"/>
    </row>
    <row r="38" spans="1:10" ht="12.75">
      <c r="A38" s="22"/>
      <c r="B38" s="30"/>
      <c r="C38" s="30">
        <v>2</v>
      </c>
      <c r="D38" s="24" t="s">
        <v>47</v>
      </c>
      <c r="E38" s="96">
        <v>300</v>
      </c>
      <c r="F38" s="97"/>
      <c r="G38" s="96">
        <v>300</v>
      </c>
      <c r="H38" s="97"/>
      <c r="I38" s="96">
        <v>300</v>
      </c>
      <c r="J38" s="97"/>
    </row>
    <row r="39" spans="1:10" ht="12.75">
      <c r="A39" s="10"/>
      <c r="B39" s="31"/>
      <c r="C39" s="31">
        <v>3</v>
      </c>
      <c r="D39" s="12" t="s">
        <v>48</v>
      </c>
      <c r="E39" s="93">
        <v>446</v>
      </c>
      <c r="F39" s="90"/>
      <c r="G39" s="93">
        <v>446</v>
      </c>
      <c r="H39" s="90"/>
      <c r="I39" s="93">
        <v>446</v>
      </c>
      <c r="J39" s="90"/>
    </row>
    <row r="40" spans="1:10" ht="12.75">
      <c r="A40" s="14"/>
      <c r="B40" s="32"/>
      <c r="C40" s="32">
        <v>4</v>
      </c>
      <c r="D40" s="16" t="s">
        <v>49</v>
      </c>
      <c r="E40" s="98">
        <v>367</v>
      </c>
      <c r="F40" s="99"/>
      <c r="G40" s="98">
        <v>367</v>
      </c>
      <c r="H40" s="99"/>
      <c r="I40" s="162">
        <v>27</v>
      </c>
      <c r="J40" s="163"/>
    </row>
    <row r="41" spans="1:10" ht="13.5" thickBot="1">
      <c r="A41" s="18"/>
      <c r="B41" s="33"/>
      <c r="C41" s="33"/>
      <c r="D41" s="20" t="s">
        <v>19</v>
      </c>
      <c r="E41" s="94"/>
      <c r="F41" s="100">
        <f>SUM(E37:E40)</f>
        <v>1247</v>
      </c>
      <c r="G41" s="94"/>
      <c r="H41" s="100">
        <f>SUM(G37:G40)</f>
        <v>1247</v>
      </c>
      <c r="I41" s="82"/>
      <c r="J41" s="25">
        <f>SUM(I37:I40)</f>
        <v>907</v>
      </c>
    </row>
    <row r="42" spans="1:10" ht="13.5" thickBot="1">
      <c r="A42" s="34" t="s">
        <v>50</v>
      </c>
      <c r="B42" s="35" t="s">
        <v>51</v>
      </c>
      <c r="C42" s="35"/>
      <c r="D42" s="36"/>
      <c r="E42" s="104">
        <v>1900</v>
      </c>
      <c r="F42" s="105">
        <f>SUM(E42)</f>
        <v>1900</v>
      </c>
      <c r="G42" s="104">
        <v>1900</v>
      </c>
      <c r="H42" s="105">
        <f>SUM(G42)</f>
        <v>1900</v>
      </c>
      <c r="I42" s="277">
        <v>1140</v>
      </c>
      <c r="J42" s="278">
        <f>SUM(I42)</f>
        <v>1140</v>
      </c>
    </row>
    <row r="43" spans="1:10" ht="13.5" thickBot="1">
      <c r="A43" s="37" t="s">
        <v>52</v>
      </c>
      <c r="B43" s="38" t="s">
        <v>53</v>
      </c>
      <c r="C43" s="38"/>
      <c r="D43" s="39"/>
      <c r="E43" s="106">
        <v>750</v>
      </c>
      <c r="F43" s="105">
        <f>SUM(E43)</f>
        <v>750</v>
      </c>
      <c r="G43" s="106">
        <v>750</v>
      </c>
      <c r="H43" s="105">
        <f>SUM(G43)</f>
        <v>750</v>
      </c>
      <c r="I43" s="106">
        <v>750</v>
      </c>
      <c r="J43" s="105">
        <f>SUM(I43)</f>
        <v>750</v>
      </c>
    </row>
    <row r="44" spans="1:10" ht="12.75">
      <c r="A44" s="7" t="s">
        <v>54</v>
      </c>
      <c r="B44" s="29" t="s">
        <v>55</v>
      </c>
      <c r="C44" s="29">
        <v>1</v>
      </c>
      <c r="D44" s="9" t="s">
        <v>56</v>
      </c>
      <c r="E44" s="101">
        <v>40</v>
      </c>
      <c r="F44" s="87"/>
      <c r="G44" s="101">
        <v>40</v>
      </c>
      <c r="H44" s="87"/>
      <c r="I44" s="101">
        <v>40</v>
      </c>
      <c r="J44" s="87"/>
    </row>
    <row r="45" spans="1:10" ht="12.75">
      <c r="A45" s="22"/>
      <c r="B45" s="30"/>
      <c r="C45" s="30">
        <f>+C44+1</f>
        <v>2</v>
      </c>
      <c r="D45" s="24" t="s">
        <v>57</v>
      </c>
      <c r="E45" s="96">
        <v>520</v>
      </c>
      <c r="F45" s="97"/>
      <c r="G45" s="96">
        <v>520</v>
      </c>
      <c r="H45" s="97"/>
      <c r="I45" s="96">
        <v>520</v>
      </c>
      <c r="J45" s="97"/>
    </row>
    <row r="46" spans="1:10" ht="12.75">
      <c r="A46" s="22"/>
      <c r="B46" s="30"/>
      <c r="C46" s="30">
        <f>+C45+1</f>
        <v>3</v>
      </c>
      <c r="D46" s="24" t="s">
        <v>58</v>
      </c>
      <c r="E46" s="96">
        <v>850</v>
      </c>
      <c r="F46" s="97"/>
      <c r="G46" s="96">
        <v>850</v>
      </c>
      <c r="H46" s="97"/>
      <c r="I46" s="96">
        <v>850</v>
      </c>
      <c r="J46" s="97"/>
    </row>
    <row r="47" spans="1:10" ht="12.75">
      <c r="A47" s="22"/>
      <c r="B47" s="30"/>
      <c r="C47" s="30">
        <f>+C46+1</f>
        <v>4</v>
      </c>
      <c r="D47" s="24" t="s">
        <v>59</v>
      </c>
      <c r="E47" s="96">
        <v>690</v>
      </c>
      <c r="F47" s="97"/>
      <c r="G47" s="96">
        <v>690</v>
      </c>
      <c r="H47" s="97"/>
      <c r="I47" s="96">
        <v>690</v>
      </c>
      <c r="J47" s="97"/>
    </row>
    <row r="48" spans="1:10" ht="12.75">
      <c r="A48" s="22"/>
      <c r="B48" s="30"/>
      <c r="C48" s="30">
        <f>+C47+1</f>
        <v>5</v>
      </c>
      <c r="D48" s="24" t="s">
        <v>138</v>
      </c>
      <c r="E48" s="96"/>
      <c r="F48" s="97"/>
      <c r="G48" s="96"/>
      <c r="H48" s="97"/>
      <c r="I48" s="157">
        <v>600</v>
      </c>
      <c r="J48" s="97"/>
    </row>
    <row r="49" spans="1:10" ht="12.75">
      <c r="A49" s="22"/>
      <c r="B49" s="30"/>
      <c r="C49" s="30">
        <f>+C48+1</f>
        <v>6</v>
      </c>
      <c r="D49" s="12" t="s">
        <v>60</v>
      </c>
      <c r="E49" s="93">
        <v>600</v>
      </c>
      <c r="F49" s="90"/>
      <c r="G49" s="93">
        <v>600</v>
      </c>
      <c r="H49" s="90"/>
      <c r="I49" s="17">
        <v>612</v>
      </c>
      <c r="J49" s="90"/>
    </row>
    <row r="50" spans="1:10" ht="13.5" thickBot="1">
      <c r="A50" s="18"/>
      <c r="B50" s="33"/>
      <c r="C50" s="33"/>
      <c r="D50" s="20" t="s">
        <v>19</v>
      </c>
      <c r="E50" s="94"/>
      <c r="F50" s="100">
        <f>SUM(E44:E49)</f>
        <v>2700</v>
      </c>
      <c r="G50" s="94"/>
      <c r="H50" s="100">
        <f>SUM(G44:G49)</f>
        <v>2700</v>
      </c>
      <c r="I50" s="94"/>
      <c r="J50" s="25">
        <f>SUM(I44:I49)</f>
        <v>3312</v>
      </c>
    </row>
    <row r="51" spans="1:10" ht="13.5" thickBot="1">
      <c r="A51" s="40" t="s">
        <v>61</v>
      </c>
      <c r="B51" s="35" t="s">
        <v>62</v>
      </c>
      <c r="C51" s="35"/>
      <c r="D51" s="36"/>
      <c r="E51" s="107">
        <v>612</v>
      </c>
      <c r="F51" s="105">
        <f>SUM(E51)</f>
        <v>612</v>
      </c>
      <c r="G51" s="107">
        <v>612</v>
      </c>
      <c r="H51" s="105">
        <f>SUM(G51)</f>
        <v>612</v>
      </c>
      <c r="I51" s="107">
        <v>612</v>
      </c>
      <c r="J51" s="105">
        <f>SUM(I51)</f>
        <v>612</v>
      </c>
    </row>
    <row r="52" spans="1:10" ht="12.75">
      <c r="A52" s="41"/>
      <c r="B52" s="29" t="s">
        <v>63</v>
      </c>
      <c r="C52" s="29"/>
      <c r="D52" s="9"/>
      <c r="E52" s="101"/>
      <c r="F52" s="108">
        <f>SUM(F3:F51)</f>
        <v>109723.73</v>
      </c>
      <c r="G52" s="101"/>
      <c r="H52" s="108">
        <f>SUM(H3:H51)</f>
        <v>110443.73</v>
      </c>
      <c r="I52" s="101"/>
      <c r="J52" s="42">
        <f>SUM(J3:J51)</f>
        <v>110734.73</v>
      </c>
    </row>
    <row r="53" spans="1:10" ht="13.5" thickBot="1">
      <c r="A53" s="43"/>
      <c r="B53" s="33" t="s">
        <v>64</v>
      </c>
      <c r="C53" s="33"/>
      <c r="D53" s="20"/>
      <c r="E53" s="94"/>
      <c r="F53" s="109">
        <f>+F52-612</f>
        <v>109111.73</v>
      </c>
      <c r="G53" s="94"/>
      <c r="H53" s="109">
        <f>+H52-612</f>
        <v>109831.73</v>
      </c>
      <c r="I53" s="94"/>
      <c r="J53" s="44">
        <f>+J52-612</f>
        <v>110122.73</v>
      </c>
    </row>
    <row r="54" spans="1:10" ht="18" thickBot="1">
      <c r="A54" s="1" t="s">
        <v>65</v>
      </c>
      <c r="B54" s="45"/>
      <c r="C54" s="45"/>
      <c r="D54" s="45"/>
      <c r="E54" s="285"/>
      <c r="F54" s="286"/>
      <c r="G54" s="285" t="s">
        <v>133</v>
      </c>
      <c r="H54" s="286"/>
      <c r="I54" s="283" t="s">
        <v>139</v>
      </c>
      <c r="J54" s="284"/>
    </row>
    <row r="55" spans="1:10" ht="13.5" thickBot="1">
      <c r="A55" s="46" t="s">
        <v>1</v>
      </c>
      <c r="B55" s="47" t="s">
        <v>2</v>
      </c>
      <c r="C55" s="47" t="s">
        <v>3</v>
      </c>
      <c r="D55" s="48" t="s">
        <v>4</v>
      </c>
      <c r="E55" s="110"/>
      <c r="F55" s="111"/>
      <c r="G55" s="110"/>
      <c r="H55" s="111" t="s">
        <v>5</v>
      </c>
      <c r="I55" s="110"/>
      <c r="J55" s="111" t="s">
        <v>5</v>
      </c>
    </row>
    <row r="56" spans="1:10" ht="12.75">
      <c r="A56" s="7" t="s">
        <v>6</v>
      </c>
      <c r="B56" s="29" t="s">
        <v>66</v>
      </c>
      <c r="C56" s="29">
        <v>1</v>
      </c>
      <c r="D56" s="9" t="s">
        <v>67</v>
      </c>
      <c r="E56" s="112">
        <v>2600</v>
      </c>
      <c r="F56" s="113"/>
      <c r="G56" s="112">
        <v>2600</v>
      </c>
      <c r="H56" s="113"/>
      <c r="I56" s="112">
        <v>2600</v>
      </c>
      <c r="J56" s="113"/>
    </row>
    <row r="57" spans="1:10" ht="12.75">
      <c r="A57" s="22"/>
      <c r="B57" s="30"/>
      <c r="C57" s="30">
        <v>2</v>
      </c>
      <c r="D57" s="24" t="s">
        <v>68</v>
      </c>
      <c r="E57" s="114">
        <v>277</v>
      </c>
      <c r="F57" s="115"/>
      <c r="G57" s="114">
        <v>277</v>
      </c>
      <c r="H57" s="115"/>
      <c r="I57" s="114">
        <v>277</v>
      </c>
      <c r="J57" s="115"/>
    </row>
    <row r="58" spans="1:10" ht="12.75">
      <c r="A58" s="10"/>
      <c r="B58" s="31"/>
      <c r="C58" s="30">
        <f aca="true" t="shared" si="2" ref="C58:C63">+C57+1</f>
        <v>3</v>
      </c>
      <c r="D58" s="12" t="s">
        <v>69</v>
      </c>
      <c r="E58" s="114">
        <v>603</v>
      </c>
      <c r="F58" s="115"/>
      <c r="G58" s="114">
        <v>603</v>
      </c>
      <c r="H58" s="115"/>
      <c r="I58" s="114">
        <v>603</v>
      </c>
      <c r="J58" s="115"/>
    </row>
    <row r="59" spans="1:10" ht="12.75">
      <c r="A59" s="10"/>
      <c r="B59" s="31"/>
      <c r="C59" s="30">
        <f t="shared" si="2"/>
        <v>4</v>
      </c>
      <c r="D59" s="12" t="s">
        <v>70</v>
      </c>
      <c r="E59" s="114">
        <f>148-59</f>
        <v>89</v>
      </c>
      <c r="F59" s="116"/>
      <c r="G59" s="114">
        <f>148-59</f>
        <v>89</v>
      </c>
      <c r="H59" s="116"/>
      <c r="I59" s="114">
        <f>148-59</f>
        <v>89</v>
      </c>
      <c r="J59" s="116"/>
    </row>
    <row r="60" spans="1:10" ht="12.75">
      <c r="A60" s="10"/>
      <c r="B60" s="31"/>
      <c r="C60" s="30">
        <f t="shared" si="2"/>
        <v>5</v>
      </c>
      <c r="D60" s="12" t="s">
        <v>71</v>
      </c>
      <c r="E60" s="114">
        <v>338</v>
      </c>
      <c r="F60" s="115"/>
      <c r="G60" s="114">
        <v>338</v>
      </c>
      <c r="H60" s="115"/>
      <c r="I60" s="114">
        <v>338</v>
      </c>
      <c r="J60" s="115"/>
    </row>
    <row r="61" spans="1:10" ht="12.75">
      <c r="A61" s="10"/>
      <c r="B61" s="31"/>
      <c r="C61" s="30">
        <f t="shared" si="2"/>
        <v>6</v>
      </c>
      <c r="D61" s="12" t="s">
        <v>72</v>
      </c>
      <c r="E61" s="114">
        <v>348</v>
      </c>
      <c r="F61" s="115"/>
      <c r="G61" s="114">
        <v>348</v>
      </c>
      <c r="H61" s="115"/>
      <c r="I61" s="161">
        <f>348+49</f>
        <v>397</v>
      </c>
      <c r="J61" s="115"/>
    </row>
    <row r="62" spans="1:10" ht="12.75">
      <c r="A62" s="10"/>
      <c r="B62" s="31"/>
      <c r="C62" s="30">
        <f t="shared" si="2"/>
        <v>7</v>
      </c>
      <c r="D62" s="12" t="s">
        <v>73</v>
      </c>
      <c r="E62" s="114">
        <v>933</v>
      </c>
      <c r="F62" s="115"/>
      <c r="G62" s="114">
        <v>933</v>
      </c>
      <c r="H62" s="115"/>
      <c r="I62" s="114">
        <v>933</v>
      </c>
      <c r="J62" s="115"/>
    </row>
    <row r="63" spans="1:10" ht="12.75">
      <c r="A63" s="14"/>
      <c r="B63" s="32"/>
      <c r="C63" s="30">
        <f t="shared" si="2"/>
        <v>8</v>
      </c>
      <c r="D63" s="16" t="s">
        <v>74</v>
      </c>
      <c r="E63" s="114">
        <v>200</v>
      </c>
      <c r="F63" s="115"/>
      <c r="G63" s="114">
        <v>200</v>
      </c>
      <c r="H63" s="115"/>
      <c r="I63" s="114">
        <v>200</v>
      </c>
      <c r="J63" s="115"/>
    </row>
    <row r="64" spans="1:10" ht="13.5" thickBot="1">
      <c r="A64" s="14"/>
      <c r="B64" s="32"/>
      <c r="C64" s="32"/>
      <c r="D64" s="16" t="s">
        <v>19</v>
      </c>
      <c r="E64" s="117"/>
      <c r="F64" s="118">
        <f>SUM(E56:E63)</f>
        <v>5388</v>
      </c>
      <c r="G64" s="117"/>
      <c r="H64" s="118">
        <f>SUM(G56:G63)</f>
        <v>5388</v>
      </c>
      <c r="I64" s="117"/>
      <c r="J64" s="281">
        <f>SUM(I56:I63)</f>
        <v>5437</v>
      </c>
    </row>
    <row r="65" spans="1:10" ht="12.75">
      <c r="A65" s="7" t="s">
        <v>14</v>
      </c>
      <c r="B65" s="29" t="s">
        <v>75</v>
      </c>
      <c r="C65" s="29">
        <v>1</v>
      </c>
      <c r="D65" s="9" t="s">
        <v>76</v>
      </c>
      <c r="E65" s="112">
        <v>26106</v>
      </c>
      <c r="F65" s="119"/>
      <c r="G65" s="112">
        <f>26106+90</f>
        <v>26196</v>
      </c>
      <c r="H65" s="119"/>
      <c r="I65" s="159">
        <f>26106+90+166</f>
        <v>26362</v>
      </c>
      <c r="J65" s="119"/>
    </row>
    <row r="66" spans="1:10" ht="12.75">
      <c r="A66" s="10"/>
      <c r="B66" s="31"/>
      <c r="C66" s="31">
        <v>2</v>
      </c>
      <c r="D66" s="12" t="s">
        <v>186</v>
      </c>
      <c r="E66" s="114">
        <v>870</v>
      </c>
      <c r="F66" s="120"/>
      <c r="G66" s="114">
        <v>870</v>
      </c>
      <c r="H66" s="120"/>
      <c r="I66" s="161">
        <f>870+80</f>
        <v>950</v>
      </c>
      <c r="J66" s="120"/>
    </row>
    <row r="67" spans="1:10" ht="13.5" thickBot="1">
      <c r="A67" s="18"/>
      <c r="B67" s="33"/>
      <c r="C67" s="33"/>
      <c r="D67" s="20" t="s">
        <v>5</v>
      </c>
      <c r="E67" s="121"/>
      <c r="F67" s="122">
        <f>SUM(E65:E66)</f>
        <v>26976</v>
      </c>
      <c r="G67" s="121"/>
      <c r="H67" s="122">
        <f>SUM(G65:G66)</f>
        <v>27066</v>
      </c>
      <c r="I67" s="121"/>
      <c r="J67" s="49">
        <f>SUM(I65:I66)</f>
        <v>27312</v>
      </c>
    </row>
    <row r="68" spans="1:10" ht="12.75">
      <c r="A68" s="22" t="s">
        <v>20</v>
      </c>
      <c r="B68" s="30" t="s">
        <v>77</v>
      </c>
      <c r="C68" s="30">
        <v>1</v>
      </c>
      <c r="D68" s="24" t="s">
        <v>121</v>
      </c>
      <c r="E68" s="112">
        <v>910</v>
      </c>
      <c r="F68" s="113"/>
      <c r="G68" s="112">
        <v>990</v>
      </c>
      <c r="H68" s="113"/>
      <c r="I68" s="112">
        <v>990</v>
      </c>
      <c r="J68" s="152"/>
    </row>
    <row r="69" spans="1:10" ht="12.75">
      <c r="A69" s="10"/>
      <c r="B69" s="31"/>
      <c r="C69" s="31">
        <v>2</v>
      </c>
      <c r="D69" s="12" t="s">
        <v>78</v>
      </c>
      <c r="E69" s="114">
        <v>960</v>
      </c>
      <c r="F69" s="115"/>
      <c r="G69" s="114">
        <v>1150</v>
      </c>
      <c r="H69" s="115"/>
      <c r="I69" s="114">
        <v>1150</v>
      </c>
      <c r="J69" s="153"/>
    </row>
    <row r="70" spans="1:10" ht="12.75">
      <c r="A70" s="10"/>
      <c r="B70" s="31"/>
      <c r="C70" s="31">
        <v>3</v>
      </c>
      <c r="D70" s="12" t="s">
        <v>79</v>
      </c>
      <c r="E70" s="114">
        <v>223</v>
      </c>
      <c r="F70" s="115"/>
      <c r="G70" s="114">
        <v>223</v>
      </c>
      <c r="H70" s="115"/>
      <c r="I70" s="161">
        <f>223+80</f>
        <v>303</v>
      </c>
      <c r="J70" s="153"/>
    </row>
    <row r="71" spans="1:10" ht="12.75">
      <c r="A71" s="10"/>
      <c r="B71" s="31"/>
      <c r="C71" s="31">
        <v>4</v>
      </c>
      <c r="D71" s="12" t="s">
        <v>80</v>
      </c>
      <c r="E71" s="123">
        <v>230</v>
      </c>
      <c r="F71" s="115"/>
      <c r="G71" s="123">
        <v>290</v>
      </c>
      <c r="H71" s="115"/>
      <c r="I71" s="50">
        <v>320</v>
      </c>
      <c r="J71" s="153"/>
    </row>
    <row r="72" spans="1:10" ht="13.5" thickBot="1">
      <c r="A72" s="14"/>
      <c r="B72" s="32"/>
      <c r="C72" s="32"/>
      <c r="D72" s="16" t="s">
        <v>19</v>
      </c>
      <c r="E72" s="124"/>
      <c r="F72" s="125">
        <f>SUM(E68:E71)</f>
        <v>2323</v>
      </c>
      <c r="G72" s="124"/>
      <c r="H72" s="125">
        <f>SUM(G68:G71)</f>
        <v>2653</v>
      </c>
      <c r="I72" s="124"/>
      <c r="J72" s="51">
        <f>SUM(I68:I71)</f>
        <v>2763</v>
      </c>
    </row>
    <row r="73" spans="1:10" ht="12.75">
      <c r="A73" s="7" t="s">
        <v>36</v>
      </c>
      <c r="B73" s="38" t="s">
        <v>81</v>
      </c>
      <c r="C73" s="29">
        <v>1</v>
      </c>
      <c r="D73" s="9" t="s">
        <v>82</v>
      </c>
      <c r="E73" s="126">
        <f>5253+147</f>
        <v>5400</v>
      </c>
      <c r="F73" s="113"/>
      <c r="G73" s="126">
        <f>5253+147-500</f>
        <v>4900</v>
      </c>
      <c r="H73" s="113"/>
      <c r="I73" s="282">
        <f>5253+143-500</f>
        <v>4896</v>
      </c>
      <c r="J73" s="113"/>
    </row>
    <row r="74" spans="1:10" ht="12.75">
      <c r="A74" s="14"/>
      <c r="B74" s="32"/>
      <c r="C74" s="30">
        <f aca="true" t="shared" si="3" ref="C74:C85">+C73+1</f>
        <v>2</v>
      </c>
      <c r="D74" s="12" t="s">
        <v>123</v>
      </c>
      <c r="E74" s="123">
        <f>7087+413</f>
        <v>7500</v>
      </c>
      <c r="F74" s="115"/>
      <c r="G74" s="123">
        <f>7087+422</f>
        <v>7509</v>
      </c>
      <c r="H74" s="115"/>
      <c r="I74" s="50">
        <v>7510</v>
      </c>
      <c r="J74" s="115"/>
    </row>
    <row r="75" spans="1:10" ht="12.75">
      <c r="A75" s="14"/>
      <c r="B75" s="32"/>
      <c r="C75" s="30">
        <f t="shared" si="3"/>
        <v>3</v>
      </c>
      <c r="D75" s="12" t="s">
        <v>122</v>
      </c>
      <c r="E75" s="123">
        <v>8600</v>
      </c>
      <c r="F75" s="127"/>
      <c r="G75" s="123">
        <f>8600+570</f>
        <v>9170</v>
      </c>
      <c r="H75" s="127"/>
      <c r="I75" s="123">
        <f>8600+570</f>
        <v>9170</v>
      </c>
      <c r="J75" s="127"/>
    </row>
    <row r="76" spans="1:10" ht="12.75">
      <c r="A76" s="14"/>
      <c r="B76" s="32"/>
      <c r="C76" s="30">
        <f t="shared" si="3"/>
        <v>4</v>
      </c>
      <c r="D76" s="12" t="s">
        <v>84</v>
      </c>
      <c r="E76" s="123">
        <f>747+623</f>
        <v>1370</v>
      </c>
      <c r="F76" s="127"/>
      <c r="G76" s="123">
        <f>747+623</f>
        <v>1370</v>
      </c>
      <c r="H76" s="127"/>
      <c r="I76" s="123">
        <f>747+623</f>
        <v>1370</v>
      </c>
      <c r="J76" s="127"/>
    </row>
    <row r="77" spans="1:10" ht="12.75">
      <c r="A77" s="14"/>
      <c r="B77" s="32"/>
      <c r="C77" s="30">
        <f t="shared" si="3"/>
        <v>5</v>
      </c>
      <c r="D77" s="12" t="s">
        <v>85</v>
      </c>
      <c r="E77" s="123">
        <v>1100</v>
      </c>
      <c r="F77" s="127"/>
      <c r="G77" s="123">
        <v>1100</v>
      </c>
      <c r="H77" s="127"/>
      <c r="I77" s="123">
        <v>1100</v>
      </c>
      <c r="J77" s="127"/>
    </row>
    <row r="78" spans="1:10" ht="12.75">
      <c r="A78" s="14"/>
      <c r="B78" s="32"/>
      <c r="C78" s="30">
        <f t="shared" si="3"/>
        <v>6</v>
      </c>
      <c r="D78" s="12" t="s">
        <v>129</v>
      </c>
      <c r="E78" s="123">
        <v>2000</v>
      </c>
      <c r="F78" s="127"/>
      <c r="G78" s="123">
        <v>2000</v>
      </c>
      <c r="H78" s="127"/>
      <c r="I78" s="50">
        <v>10</v>
      </c>
      <c r="J78" s="127"/>
    </row>
    <row r="79" spans="1:10" ht="12.75">
      <c r="A79" s="14"/>
      <c r="B79" s="32"/>
      <c r="C79" s="30">
        <f t="shared" si="3"/>
        <v>7</v>
      </c>
      <c r="D79" s="12" t="s">
        <v>83</v>
      </c>
      <c r="E79" s="123">
        <v>0</v>
      </c>
      <c r="F79" s="127"/>
      <c r="G79" s="123">
        <v>0</v>
      </c>
      <c r="H79" s="127"/>
      <c r="I79" s="50">
        <v>80</v>
      </c>
      <c r="J79" s="127"/>
    </row>
    <row r="80" spans="1:10" ht="12.75">
      <c r="A80" s="14"/>
      <c r="B80" s="32"/>
      <c r="C80" s="30">
        <f t="shared" si="3"/>
        <v>8</v>
      </c>
      <c r="D80" s="12" t="s">
        <v>124</v>
      </c>
      <c r="E80" s="123">
        <v>2270</v>
      </c>
      <c r="F80" s="127"/>
      <c r="G80" s="123">
        <v>2270</v>
      </c>
      <c r="H80" s="127"/>
      <c r="I80" s="50">
        <f>2280+120+70</f>
        <v>2470</v>
      </c>
      <c r="J80" s="127"/>
    </row>
    <row r="81" spans="1:10" ht="12.75">
      <c r="A81" s="14"/>
      <c r="B81" s="32"/>
      <c r="C81" s="30">
        <f t="shared" si="3"/>
        <v>9</v>
      </c>
      <c r="D81" s="12" t="s">
        <v>125</v>
      </c>
      <c r="E81" s="123">
        <v>100</v>
      </c>
      <c r="F81" s="127"/>
      <c r="G81" s="123">
        <v>100</v>
      </c>
      <c r="H81" s="127"/>
      <c r="I81" s="50">
        <v>98</v>
      </c>
      <c r="J81" s="127"/>
    </row>
    <row r="82" spans="1:10" ht="12.75">
      <c r="A82" s="14"/>
      <c r="B82" s="32"/>
      <c r="C82" s="30">
        <f t="shared" si="3"/>
        <v>10</v>
      </c>
      <c r="D82" s="12" t="s">
        <v>127</v>
      </c>
      <c r="E82" s="123">
        <v>265</v>
      </c>
      <c r="F82" s="127"/>
      <c r="G82" s="123">
        <v>260</v>
      </c>
      <c r="H82" s="127"/>
      <c r="I82" s="123">
        <v>260</v>
      </c>
      <c r="J82" s="127"/>
    </row>
    <row r="83" spans="1:10" ht="12.75">
      <c r="A83" s="14"/>
      <c r="B83" s="32"/>
      <c r="C83" s="30">
        <f t="shared" si="3"/>
        <v>11</v>
      </c>
      <c r="D83" s="12" t="s">
        <v>126</v>
      </c>
      <c r="E83" s="123">
        <v>150</v>
      </c>
      <c r="F83" s="127"/>
      <c r="G83" s="123">
        <v>250</v>
      </c>
      <c r="H83" s="127"/>
      <c r="I83" s="50">
        <v>251</v>
      </c>
      <c r="J83" s="127"/>
    </row>
    <row r="84" spans="1:10" ht="12.75">
      <c r="A84" s="14"/>
      <c r="B84" s="32"/>
      <c r="C84" s="30">
        <f t="shared" si="3"/>
        <v>12</v>
      </c>
      <c r="D84" s="12" t="s">
        <v>128</v>
      </c>
      <c r="E84" s="123">
        <v>290</v>
      </c>
      <c r="F84" s="127"/>
      <c r="G84" s="123">
        <v>202</v>
      </c>
      <c r="H84" s="127"/>
      <c r="I84" s="50">
        <v>186</v>
      </c>
      <c r="J84" s="127"/>
    </row>
    <row r="85" spans="1:10" ht="12.75">
      <c r="A85" s="14"/>
      <c r="B85" s="32"/>
      <c r="C85" s="30">
        <f t="shared" si="3"/>
        <v>13</v>
      </c>
      <c r="D85" s="12" t="s">
        <v>135</v>
      </c>
      <c r="E85" s="123"/>
      <c r="F85" s="127"/>
      <c r="G85" s="123">
        <v>298</v>
      </c>
      <c r="H85" s="127"/>
      <c r="I85" s="123">
        <v>298</v>
      </c>
      <c r="J85" s="127"/>
    </row>
    <row r="86" spans="1:10" ht="12.75">
      <c r="A86" s="14"/>
      <c r="B86" s="32"/>
      <c r="C86" s="30">
        <f>+C85+1</f>
        <v>14</v>
      </c>
      <c r="D86" s="12" t="s">
        <v>140</v>
      </c>
      <c r="E86" s="124"/>
      <c r="F86" s="127"/>
      <c r="G86" s="124"/>
      <c r="H86" s="127"/>
      <c r="I86" s="56">
        <v>20</v>
      </c>
      <c r="J86" s="127"/>
    </row>
    <row r="87" spans="1:10" ht="13.5" thickBot="1">
      <c r="A87" s="18"/>
      <c r="B87" s="33"/>
      <c r="C87" s="52"/>
      <c r="D87" s="53" t="s">
        <v>19</v>
      </c>
      <c r="E87" s="117"/>
      <c r="F87" s="128">
        <f>SUM(E73:E85)</f>
        <v>29045</v>
      </c>
      <c r="G87" s="117"/>
      <c r="H87" s="128">
        <f>SUM(G73:G85)</f>
        <v>29429</v>
      </c>
      <c r="I87" s="117"/>
      <c r="J87" s="54">
        <f>SUM(I73:I86)</f>
        <v>27719</v>
      </c>
    </row>
    <row r="88" spans="1:10" ht="12.75">
      <c r="A88" s="7" t="s">
        <v>44</v>
      </c>
      <c r="B88" s="29" t="s">
        <v>86</v>
      </c>
      <c r="C88" s="29">
        <v>1</v>
      </c>
      <c r="D88" s="55" t="s">
        <v>87</v>
      </c>
      <c r="E88" s="129">
        <v>350</v>
      </c>
      <c r="F88" s="130"/>
      <c r="G88" s="129">
        <v>380</v>
      </c>
      <c r="H88" s="130"/>
      <c r="I88" s="151">
        <f>310+22+59+14+30</f>
        <v>435</v>
      </c>
      <c r="J88" s="130"/>
    </row>
    <row r="89" spans="1:10" ht="12.75">
      <c r="A89" s="10"/>
      <c r="B89" s="31"/>
      <c r="C89" s="31">
        <f aca="true" t="shared" si="4" ref="C89:C96">+C88+1</f>
        <v>2</v>
      </c>
      <c r="D89" s="12" t="s">
        <v>88</v>
      </c>
      <c r="E89" s="123">
        <v>400</v>
      </c>
      <c r="F89" s="115"/>
      <c r="G89" s="123">
        <v>400</v>
      </c>
      <c r="H89" s="115"/>
      <c r="I89" s="123">
        <v>400</v>
      </c>
      <c r="J89" s="115"/>
    </row>
    <row r="90" spans="1:10" ht="12.75">
      <c r="A90" s="10"/>
      <c r="B90" s="31"/>
      <c r="C90" s="31">
        <f t="shared" si="4"/>
        <v>3</v>
      </c>
      <c r="D90" s="12" t="s">
        <v>89</v>
      </c>
      <c r="E90" s="123">
        <v>200</v>
      </c>
      <c r="F90" s="115"/>
      <c r="G90" s="123">
        <v>200</v>
      </c>
      <c r="H90" s="115"/>
      <c r="I90" s="123">
        <v>200</v>
      </c>
      <c r="J90" s="115"/>
    </row>
    <row r="91" spans="1:10" ht="12.75">
      <c r="A91" s="10"/>
      <c r="B91" s="31"/>
      <c r="C91" s="31">
        <f t="shared" si="4"/>
        <v>4</v>
      </c>
      <c r="D91" s="12" t="s">
        <v>90</v>
      </c>
      <c r="E91" s="123">
        <v>427</v>
      </c>
      <c r="F91" s="115"/>
      <c r="G91" s="123">
        <v>427</v>
      </c>
      <c r="H91" s="115"/>
      <c r="I91" s="123">
        <v>427</v>
      </c>
      <c r="J91" s="115"/>
    </row>
    <row r="92" spans="1:10" ht="12.75">
      <c r="A92" s="10"/>
      <c r="B92" s="31"/>
      <c r="C92" s="31">
        <f t="shared" si="4"/>
        <v>5</v>
      </c>
      <c r="D92" s="12" t="s">
        <v>91</v>
      </c>
      <c r="E92" s="123">
        <v>5100</v>
      </c>
      <c r="F92" s="115"/>
      <c r="G92" s="123">
        <v>5100</v>
      </c>
      <c r="H92" s="115"/>
      <c r="I92" s="123">
        <v>5100</v>
      </c>
      <c r="J92" s="115"/>
    </row>
    <row r="93" spans="1:10" ht="12.75">
      <c r="A93" s="10"/>
      <c r="B93" s="31"/>
      <c r="C93" s="31">
        <f t="shared" si="4"/>
        <v>6</v>
      </c>
      <c r="D93" s="12" t="s">
        <v>92</v>
      </c>
      <c r="E93" s="123">
        <v>1400</v>
      </c>
      <c r="F93" s="115"/>
      <c r="G93" s="123">
        <v>1600</v>
      </c>
      <c r="H93" s="115"/>
      <c r="I93" s="50">
        <f>1400+378</f>
        <v>1778</v>
      </c>
      <c r="J93" s="115"/>
    </row>
    <row r="94" spans="1:10" ht="12.75">
      <c r="A94" s="10"/>
      <c r="B94" s="31"/>
      <c r="C94" s="31">
        <f t="shared" si="4"/>
        <v>7</v>
      </c>
      <c r="D94" s="12" t="s">
        <v>93</v>
      </c>
      <c r="E94" s="123">
        <v>1290</v>
      </c>
      <c r="F94" s="115"/>
      <c r="G94" s="123">
        <v>1290</v>
      </c>
      <c r="H94" s="115"/>
      <c r="I94" s="123">
        <v>1290</v>
      </c>
      <c r="J94" s="115"/>
    </row>
    <row r="95" spans="1:10" ht="12.75">
      <c r="A95" s="10"/>
      <c r="B95" s="31"/>
      <c r="C95" s="31">
        <f t="shared" si="4"/>
        <v>8</v>
      </c>
      <c r="D95" s="12" t="s">
        <v>94</v>
      </c>
      <c r="E95" s="114">
        <v>634</v>
      </c>
      <c r="F95" s="115"/>
      <c r="G95" s="114">
        <v>570</v>
      </c>
      <c r="H95" s="115"/>
      <c r="I95" s="114">
        <v>570</v>
      </c>
      <c r="J95" s="115"/>
    </row>
    <row r="96" spans="1:10" ht="12.75">
      <c r="A96" s="14"/>
      <c r="B96" s="32"/>
      <c r="C96" s="31">
        <f t="shared" si="4"/>
        <v>9</v>
      </c>
      <c r="D96" s="16" t="s">
        <v>95</v>
      </c>
      <c r="E96" s="131">
        <v>56</v>
      </c>
      <c r="F96" s="127"/>
      <c r="G96" s="131">
        <v>56</v>
      </c>
      <c r="H96" s="127"/>
      <c r="I96" s="160">
        <v>250</v>
      </c>
      <c r="J96" s="127"/>
    </row>
    <row r="97" spans="1:10" ht="13.5" thickBot="1">
      <c r="A97" s="18"/>
      <c r="B97" s="33"/>
      <c r="C97" s="33"/>
      <c r="D97" s="20" t="s">
        <v>19</v>
      </c>
      <c r="E97" s="117"/>
      <c r="F97" s="122">
        <f>SUM(E88:E96)</f>
        <v>9857</v>
      </c>
      <c r="G97" s="117"/>
      <c r="H97" s="122">
        <f>SUM(G88:G96)</f>
        <v>10023</v>
      </c>
      <c r="I97" s="117"/>
      <c r="J97" s="49">
        <f>SUM(I88:I96)</f>
        <v>10450</v>
      </c>
    </row>
    <row r="98" spans="1:10" ht="12.75">
      <c r="A98" s="22" t="s">
        <v>50</v>
      </c>
      <c r="B98" s="30" t="s">
        <v>96</v>
      </c>
      <c r="C98" s="30">
        <v>1</v>
      </c>
      <c r="D98" s="24" t="s">
        <v>97</v>
      </c>
      <c r="E98" s="129">
        <v>50</v>
      </c>
      <c r="F98" s="130"/>
      <c r="G98" s="129">
        <v>50</v>
      </c>
      <c r="H98" s="130"/>
      <c r="I98" s="129">
        <v>50</v>
      </c>
      <c r="J98" s="130"/>
    </row>
    <row r="99" spans="1:10" ht="12.75">
      <c r="A99" s="22"/>
      <c r="B99" s="30"/>
      <c r="C99" s="31">
        <f aca="true" t="shared" si="5" ref="C99:C106">+C98+1</f>
        <v>2</v>
      </c>
      <c r="D99" s="24" t="s">
        <v>98</v>
      </c>
      <c r="E99" s="129">
        <v>660</v>
      </c>
      <c r="F99" s="130"/>
      <c r="G99" s="129">
        <v>660</v>
      </c>
      <c r="H99" s="130"/>
      <c r="I99" s="129">
        <v>660</v>
      </c>
      <c r="J99" s="130"/>
    </row>
    <row r="100" spans="1:10" ht="12.75">
      <c r="A100" s="22"/>
      <c r="B100" s="30"/>
      <c r="C100" s="31">
        <f t="shared" si="5"/>
        <v>3</v>
      </c>
      <c r="D100" s="24" t="s">
        <v>99</v>
      </c>
      <c r="E100" s="129">
        <v>85</v>
      </c>
      <c r="F100" s="130"/>
      <c r="G100" s="129">
        <v>85</v>
      </c>
      <c r="H100" s="130"/>
      <c r="I100" s="129">
        <v>85</v>
      </c>
      <c r="J100" s="130"/>
    </row>
    <row r="101" spans="1:10" ht="12.75">
      <c r="A101" s="10"/>
      <c r="B101" s="31"/>
      <c r="C101" s="31">
        <f t="shared" si="5"/>
        <v>4</v>
      </c>
      <c r="D101" s="12" t="s">
        <v>100</v>
      </c>
      <c r="E101" s="114">
        <v>1100</v>
      </c>
      <c r="F101" s="115"/>
      <c r="G101" s="114">
        <v>950</v>
      </c>
      <c r="H101" s="115"/>
      <c r="I101" s="114">
        <v>950</v>
      </c>
      <c r="J101" s="115"/>
    </row>
    <row r="102" spans="1:10" ht="12.75">
      <c r="A102" s="14"/>
      <c r="B102" s="32"/>
      <c r="C102" s="31">
        <f t="shared" si="5"/>
        <v>5</v>
      </c>
      <c r="D102" s="12" t="s">
        <v>101</v>
      </c>
      <c r="E102" s="124">
        <f>1100+300</f>
        <v>1400</v>
      </c>
      <c r="F102" s="127"/>
      <c r="G102" s="124">
        <f>1363+300</f>
        <v>1663</v>
      </c>
      <c r="H102" s="127"/>
      <c r="I102" s="56">
        <f>1363+350</f>
        <v>1713</v>
      </c>
      <c r="J102" s="127"/>
    </row>
    <row r="103" spans="1:10" ht="12.75">
      <c r="A103" s="14"/>
      <c r="B103" s="32"/>
      <c r="C103" s="31">
        <f t="shared" si="5"/>
        <v>6</v>
      </c>
      <c r="D103" s="12" t="s">
        <v>102</v>
      </c>
      <c r="E103" s="131">
        <v>122</v>
      </c>
      <c r="F103" s="127"/>
      <c r="G103" s="131">
        <v>122</v>
      </c>
      <c r="H103" s="127"/>
      <c r="I103" s="160">
        <v>123</v>
      </c>
      <c r="J103" s="127"/>
    </row>
    <row r="104" spans="1:10" ht="12.75">
      <c r="A104" s="14"/>
      <c r="B104" s="32"/>
      <c r="C104" s="31">
        <f t="shared" si="5"/>
        <v>7</v>
      </c>
      <c r="D104" s="12" t="s">
        <v>131</v>
      </c>
      <c r="E104" s="131">
        <v>970</v>
      </c>
      <c r="F104" s="127"/>
      <c r="G104" s="131">
        <v>969</v>
      </c>
      <c r="H104" s="127"/>
      <c r="I104" s="131">
        <v>969</v>
      </c>
      <c r="J104" s="127"/>
    </row>
    <row r="105" spans="1:10" ht="12.75">
      <c r="A105" s="14"/>
      <c r="B105" s="32"/>
      <c r="C105" s="31">
        <f t="shared" si="5"/>
        <v>8</v>
      </c>
      <c r="D105" s="12" t="s">
        <v>103</v>
      </c>
      <c r="E105" s="131">
        <v>89</v>
      </c>
      <c r="F105" s="127"/>
      <c r="G105" s="131">
        <v>89</v>
      </c>
      <c r="H105" s="127"/>
      <c r="I105" s="131">
        <v>89</v>
      </c>
      <c r="J105" s="127"/>
    </row>
    <row r="106" spans="1:10" ht="12.75">
      <c r="A106" s="14"/>
      <c r="B106" s="32"/>
      <c r="C106" s="31">
        <f t="shared" si="5"/>
        <v>9</v>
      </c>
      <c r="D106" s="12" t="s">
        <v>104</v>
      </c>
      <c r="E106" s="124">
        <v>830</v>
      </c>
      <c r="F106" s="127"/>
      <c r="G106" s="124">
        <v>730</v>
      </c>
      <c r="H106" s="127"/>
      <c r="I106" s="56">
        <f>730+71-80+71</f>
        <v>792</v>
      </c>
      <c r="J106" s="127"/>
    </row>
    <row r="107" spans="1:10" ht="13.5" thickBot="1">
      <c r="A107" s="14"/>
      <c r="B107" s="32"/>
      <c r="C107" s="32"/>
      <c r="D107" s="16" t="s">
        <v>19</v>
      </c>
      <c r="E107" s="117"/>
      <c r="F107" s="125">
        <f>SUM(E98:E106)</f>
        <v>5306</v>
      </c>
      <c r="G107" s="117"/>
      <c r="H107" s="125">
        <f>SUM(G98:G106)</f>
        <v>5318</v>
      </c>
      <c r="I107" s="117"/>
      <c r="J107" s="51">
        <f>SUM(I98:I106)</f>
        <v>5431</v>
      </c>
    </row>
    <row r="108" spans="1:10" ht="12.75">
      <c r="A108" s="7" t="s">
        <v>52</v>
      </c>
      <c r="B108" s="29" t="s">
        <v>105</v>
      </c>
      <c r="C108" s="29">
        <v>1</v>
      </c>
      <c r="D108" s="9" t="s">
        <v>10</v>
      </c>
      <c r="E108" s="132">
        <f>5500+22660-2510</f>
        <v>25650</v>
      </c>
      <c r="F108" s="113"/>
      <c r="G108" s="132">
        <f>5500+22660-2510</f>
        <v>25650</v>
      </c>
      <c r="H108" s="113"/>
      <c r="I108" s="132">
        <f>5500+22660-2510</f>
        <v>25650</v>
      </c>
      <c r="J108" s="113"/>
    </row>
    <row r="109" spans="1:10" ht="12.75">
      <c r="A109" s="10"/>
      <c r="B109" s="31"/>
      <c r="C109" s="31">
        <v>2</v>
      </c>
      <c r="D109" s="12" t="s">
        <v>106</v>
      </c>
      <c r="E109" s="123">
        <v>840</v>
      </c>
      <c r="F109" s="115"/>
      <c r="G109" s="123">
        <v>840</v>
      </c>
      <c r="H109" s="115"/>
      <c r="I109" s="123">
        <v>840</v>
      </c>
      <c r="J109" s="115"/>
    </row>
    <row r="110" spans="1:10" ht="13.5" thickBot="1">
      <c r="A110" s="18"/>
      <c r="B110" s="33"/>
      <c r="C110" s="33"/>
      <c r="D110" s="20" t="s">
        <v>5</v>
      </c>
      <c r="E110" s="117"/>
      <c r="F110" s="122">
        <f>SUM(E108:E109)</f>
        <v>26490</v>
      </c>
      <c r="G110" s="117"/>
      <c r="H110" s="122">
        <f>SUM(G108:G109)</f>
        <v>26490</v>
      </c>
      <c r="I110" s="117"/>
      <c r="J110" s="122">
        <f>SUM(I108:I109)</f>
        <v>26490</v>
      </c>
    </row>
    <row r="111" spans="1:10" ht="13.5" thickBot="1">
      <c r="A111" s="57" t="s">
        <v>54</v>
      </c>
      <c r="B111" s="58" t="s">
        <v>51</v>
      </c>
      <c r="C111" s="58"/>
      <c r="D111" s="53"/>
      <c r="E111" s="133">
        <v>1850</v>
      </c>
      <c r="F111" s="134">
        <f>SUM(E111)</f>
        <v>1850</v>
      </c>
      <c r="G111" s="133">
        <v>1850</v>
      </c>
      <c r="H111" s="134">
        <f>SUM(G111)</f>
        <v>1850</v>
      </c>
      <c r="I111" s="279">
        <v>1605</v>
      </c>
      <c r="J111" s="280">
        <f>SUM(I111)</f>
        <v>1605</v>
      </c>
    </row>
    <row r="112" spans="1:10" ht="13.5" thickBot="1">
      <c r="A112" s="59" t="s">
        <v>61</v>
      </c>
      <c r="B112" s="35" t="s">
        <v>62</v>
      </c>
      <c r="C112" s="38"/>
      <c r="D112" s="39"/>
      <c r="E112" s="135">
        <v>612</v>
      </c>
      <c r="F112" s="136">
        <f>SUM(E112)</f>
        <v>612</v>
      </c>
      <c r="G112" s="135">
        <v>612</v>
      </c>
      <c r="H112" s="136">
        <f>SUM(G112)</f>
        <v>612</v>
      </c>
      <c r="I112" s="135">
        <v>612</v>
      </c>
      <c r="J112" s="136">
        <f>SUM(I112)</f>
        <v>612</v>
      </c>
    </row>
    <row r="113" spans="1:10" ht="12.75">
      <c r="A113" s="41"/>
      <c r="B113" s="29" t="s">
        <v>107</v>
      </c>
      <c r="C113" s="29"/>
      <c r="D113" s="9"/>
      <c r="E113" s="126"/>
      <c r="F113" s="137">
        <f>SUM(F64:F112)</f>
        <v>107847</v>
      </c>
      <c r="G113" s="126"/>
      <c r="H113" s="137">
        <f>SUM(H64:H112)</f>
        <v>108829</v>
      </c>
      <c r="I113" s="126"/>
      <c r="J113" s="61">
        <f>SUM(J64:J112)</f>
        <v>107819</v>
      </c>
    </row>
    <row r="114" spans="1:10" ht="13.5" thickBot="1">
      <c r="A114" s="43"/>
      <c r="B114" s="33" t="s">
        <v>108</v>
      </c>
      <c r="C114" s="33"/>
      <c r="D114" s="20"/>
      <c r="E114" s="117"/>
      <c r="F114" s="138">
        <f>+F113-612</f>
        <v>107235</v>
      </c>
      <c r="G114" s="117"/>
      <c r="H114" s="138">
        <f>+H113-612</f>
        <v>108217</v>
      </c>
      <c r="I114" s="117"/>
      <c r="J114" s="62">
        <f>+J113-612</f>
        <v>107207</v>
      </c>
    </row>
    <row r="115" spans="1:10" ht="13.5" thickBot="1">
      <c r="A115" s="63"/>
      <c r="B115" s="63"/>
      <c r="C115" s="63"/>
      <c r="D115" s="63"/>
      <c r="E115" s="139"/>
      <c r="F115" s="140"/>
      <c r="G115" s="139"/>
      <c r="H115" s="140"/>
      <c r="I115" s="139"/>
      <c r="J115" s="80"/>
    </row>
    <row r="116" spans="1:10" ht="13.5" thickBot="1">
      <c r="A116" s="64"/>
      <c r="B116" s="65" t="s">
        <v>109</v>
      </c>
      <c r="C116" s="66"/>
      <c r="D116" s="67"/>
      <c r="E116" s="141"/>
      <c r="F116" s="136">
        <f>+F53-F114</f>
        <v>1876.729999999996</v>
      </c>
      <c r="G116" s="141"/>
      <c r="H116" s="136">
        <f>+H53-H114</f>
        <v>1614.729999999996</v>
      </c>
      <c r="I116" s="141"/>
      <c r="J116" s="60">
        <f>+J53-J114</f>
        <v>2915.729999999996</v>
      </c>
    </row>
    <row r="117" spans="1:10" ht="12.75">
      <c r="A117" s="63"/>
      <c r="B117" s="68" t="s">
        <v>110</v>
      </c>
      <c r="C117" s="41" t="s">
        <v>132</v>
      </c>
      <c r="D117" s="69"/>
      <c r="E117" s="129">
        <f>5962+5253+3000</f>
        <v>14215</v>
      </c>
      <c r="F117" s="142"/>
      <c r="G117" s="129">
        <f>5962+5253-500+3000</f>
        <v>13715</v>
      </c>
      <c r="H117" s="142"/>
      <c r="I117" s="151">
        <f>5962+5253-500+3000+5000</f>
        <v>18715</v>
      </c>
      <c r="J117" s="70"/>
    </row>
    <row r="118" spans="2:10" ht="12.75">
      <c r="B118" s="68"/>
      <c r="C118" s="71" t="s">
        <v>111</v>
      </c>
      <c r="D118" s="72"/>
      <c r="E118" s="83">
        <f>-205-608-1400-3000-12200</f>
        <v>-17413</v>
      </c>
      <c r="F118" s="143"/>
      <c r="G118" s="83">
        <f>-205-608-1400-3000-12200</f>
        <v>-17413</v>
      </c>
      <c r="H118" s="143"/>
      <c r="I118" s="164">
        <f>-205-608-1400-3000-12200-5000</f>
        <v>-22413</v>
      </c>
      <c r="J118" s="81"/>
    </row>
    <row r="119" spans="2:11" ht="13.5" thickBot="1">
      <c r="B119" s="73" t="s">
        <v>112</v>
      </c>
      <c r="C119" s="43" t="s">
        <v>113</v>
      </c>
      <c r="D119" s="74"/>
      <c r="E119" s="121">
        <v>1321</v>
      </c>
      <c r="F119" s="122">
        <f>SUM(E117:E119)</f>
        <v>-1877</v>
      </c>
      <c r="G119" s="121">
        <v>2083</v>
      </c>
      <c r="H119" s="122">
        <f>SUM(G117:G119)</f>
        <v>-1615</v>
      </c>
      <c r="I119" s="75">
        <v>782</v>
      </c>
      <c r="J119" s="49">
        <f>SUM(I117:I119)</f>
        <v>-2916</v>
      </c>
      <c r="K119" s="149">
        <f>+J116+J119</f>
        <v>-0.27000000000407454</v>
      </c>
    </row>
    <row r="120" spans="2:10" ht="12.75">
      <c r="B120" s="76" t="s">
        <v>130</v>
      </c>
      <c r="C120" s="30"/>
      <c r="D120" s="30"/>
      <c r="E120" s="144">
        <v>3789</v>
      </c>
      <c r="F120" s="142" t="s">
        <v>114</v>
      </c>
      <c r="G120" s="144">
        <v>3789</v>
      </c>
      <c r="H120" s="142" t="s">
        <v>114</v>
      </c>
      <c r="I120" s="144">
        <v>3789</v>
      </c>
      <c r="J120" s="142" t="s">
        <v>114</v>
      </c>
    </row>
    <row r="121" spans="2:10" ht="12.75">
      <c r="B121" s="71" t="s">
        <v>115</v>
      </c>
      <c r="C121" s="31"/>
      <c r="D121" s="31"/>
      <c r="E121" s="145">
        <f>+E119-E124</f>
        <v>1321</v>
      </c>
      <c r="F121" s="120" t="s">
        <v>114</v>
      </c>
      <c r="G121" s="145">
        <f>+G119-G124</f>
        <v>2083</v>
      </c>
      <c r="H121" s="120" t="s">
        <v>114</v>
      </c>
      <c r="I121" s="77">
        <f>+I119-I124</f>
        <v>782</v>
      </c>
      <c r="J121" s="120" t="s">
        <v>114</v>
      </c>
    </row>
    <row r="122" spans="2:10" ht="13.5" thickBot="1">
      <c r="B122" s="43" t="s">
        <v>116</v>
      </c>
      <c r="C122" s="33"/>
      <c r="D122" s="33"/>
      <c r="E122" s="146">
        <f>+E120-E121</f>
        <v>2468</v>
      </c>
      <c r="F122" s="122" t="s">
        <v>114</v>
      </c>
      <c r="G122" s="146">
        <f>+G120-G121</f>
        <v>1706</v>
      </c>
      <c r="H122" s="122" t="s">
        <v>114</v>
      </c>
      <c r="I122" s="78">
        <f>+I120-I121</f>
        <v>3007</v>
      </c>
      <c r="J122" s="122" t="s">
        <v>114</v>
      </c>
    </row>
    <row r="123" spans="2:10" ht="12.75">
      <c r="B123" s="41" t="s">
        <v>117</v>
      </c>
      <c r="C123" s="29"/>
      <c r="D123" s="29"/>
      <c r="E123" s="147">
        <v>130</v>
      </c>
      <c r="F123" s="113" t="s">
        <v>114</v>
      </c>
      <c r="G123" s="147">
        <v>130</v>
      </c>
      <c r="H123" s="113" t="s">
        <v>114</v>
      </c>
      <c r="I123" s="147">
        <v>130</v>
      </c>
      <c r="J123" s="113" t="s">
        <v>114</v>
      </c>
    </row>
    <row r="124" spans="2:10" ht="12.75">
      <c r="B124" s="71" t="s">
        <v>118</v>
      </c>
      <c r="C124" s="31"/>
      <c r="D124" s="31"/>
      <c r="E124" s="145">
        <f>E112-E51</f>
        <v>0</v>
      </c>
      <c r="F124" s="115" t="s">
        <v>114</v>
      </c>
      <c r="G124" s="145">
        <f>G112-G51</f>
        <v>0</v>
      </c>
      <c r="H124" s="115" t="s">
        <v>114</v>
      </c>
      <c r="I124" s="145">
        <f>I112-I51</f>
        <v>0</v>
      </c>
      <c r="J124" s="115" t="s">
        <v>114</v>
      </c>
    </row>
    <row r="125" spans="2:10" ht="13.5" thickBot="1">
      <c r="B125" s="43" t="s">
        <v>119</v>
      </c>
      <c r="C125" s="33"/>
      <c r="D125" s="33"/>
      <c r="E125" s="146">
        <f>+E123-E124</f>
        <v>130</v>
      </c>
      <c r="F125" s="128" t="s">
        <v>114</v>
      </c>
      <c r="G125" s="146">
        <f>+G123-G124</f>
        <v>130</v>
      </c>
      <c r="H125" s="128" t="s">
        <v>114</v>
      </c>
      <c r="I125" s="146">
        <f>+I123-I124</f>
        <v>130</v>
      </c>
      <c r="J125" s="128" t="s">
        <v>114</v>
      </c>
    </row>
    <row r="127" ht="12.75">
      <c r="B127" s="63"/>
    </row>
  </sheetData>
  <mergeCells count="6">
    <mergeCell ref="I1:J1"/>
    <mergeCell ref="I54:J54"/>
    <mergeCell ref="E1:F1"/>
    <mergeCell ref="E54:F54"/>
    <mergeCell ref="G1:H1"/>
    <mergeCell ref="G54:H54"/>
  </mergeCells>
  <printOptions/>
  <pageMargins left="0.71" right="0.7874015748031497" top="0.68" bottom="0.36" header="0.27" footer="0.27"/>
  <pageSetup horizontalDpi="600" verticalDpi="600" orientation="portrait" paperSize="9" scale="84" r:id="rId1"/>
  <headerFooter alignWithMargins="0">
    <oddHeader>&amp;C&amp;"Arial Black,Obyčejné"&amp;12II.úprava rozpočtu města Blovice schválená ZM 24.6.2010&amp;Rč.j. MUBlov 08642/10</oddHeader>
    <oddFooter>&amp;Lvyvěšeno: 
svěšeno:
&amp;Rsestavil: Ing.Hodek</oddFooter>
  </headerFooter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H91"/>
  <sheetViews>
    <sheetView workbookViewId="0" topLeftCell="A52">
      <selection activeCell="D24" sqref="D24"/>
    </sheetView>
  </sheetViews>
  <sheetFormatPr defaultColWidth="9.140625" defaultRowHeight="12.75"/>
  <cols>
    <col min="1" max="1" width="4.7109375" style="166" customWidth="1"/>
    <col min="2" max="2" width="26.57421875" style="166" customWidth="1"/>
    <col min="3" max="4" width="9.00390625" style="166" bestFit="1" customWidth="1"/>
    <col min="5" max="7" width="9.57421875" style="166" bestFit="1" customWidth="1"/>
    <col min="8" max="16384" width="8.8515625" style="166" customWidth="1"/>
  </cols>
  <sheetData>
    <row r="2" ht="18" thickBot="1">
      <c r="A2" s="165" t="s">
        <v>142</v>
      </c>
    </row>
    <row r="3" spans="1:8" ht="13.5" thickBot="1">
      <c r="A3" s="167" t="s">
        <v>1</v>
      </c>
      <c r="B3" s="168" t="s">
        <v>2</v>
      </c>
      <c r="C3" s="169" t="s">
        <v>185</v>
      </c>
      <c r="D3" s="169">
        <v>2010</v>
      </c>
      <c r="E3" s="170">
        <v>2011</v>
      </c>
      <c r="F3" s="170">
        <v>2012</v>
      </c>
      <c r="G3" s="170">
        <v>2013</v>
      </c>
      <c r="H3" s="170">
        <v>2014</v>
      </c>
    </row>
    <row r="4" spans="1:8" ht="12.75">
      <c r="A4" s="171" t="s">
        <v>6</v>
      </c>
      <c r="B4" s="172" t="s">
        <v>143</v>
      </c>
      <c r="C4" s="173">
        <v>77858</v>
      </c>
      <c r="D4" s="174">
        <f>63495+71</f>
        <v>63566</v>
      </c>
      <c r="E4" s="175">
        <v>53000</v>
      </c>
      <c r="F4" s="176">
        <f aca="true" t="shared" si="0" ref="F4:H12">+E4*1.05</f>
        <v>55650</v>
      </c>
      <c r="G4" s="176">
        <f t="shared" si="0"/>
        <v>58432.5</v>
      </c>
      <c r="H4" s="176">
        <f t="shared" si="0"/>
        <v>61354.125</v>
      </c>
    </row>
    <row r="5" spans="1:8" ht="12.75">
      <c r="A5" s="177" t="s">
        <v>14</v>
      </c>
      <c r="B5" s="178" t="s">
        <v>144</v>
      </c>
      <c r="C5" s="179">
        <v>29377</v>
      </c>
      <c r="D5" s="180">
        <v>32763</v>
      </c>
      <c r="E5" s="175">
        <v>31844</v>
      </c>
      <c r="F5" s="176">
        <f t="shared" si="0"/>
        <v>33436.200000000004</v>
      </c>
      <c r="G5" s="176">
        <f t="shared" si="0"/>
        <v>35108.01000000001</v>
      </c>
      <c r="H5" s="176">
        <f t="shared" si="0"/>
        <v>36863.41050000001</v>
      </c>
    </row>
    <row r="6" spans="1:8" ht="12.75">
      <c r="A6" s="177" t="s">
        <v>20</v>
      </c>
      <c r="B6" s="178" t="s">
        <v>145</v>
      </c>
      <c r="C6" s="179">
        <v>6190</v>
      </c>
      <c r="D6" s="180">
        <v>6220</v>
      </c>
      <c r="E6" s="176">
        <f>+D6*1.05</f>
        <v>6531</v>
      </c>
      <c r="F6" s="176">
        <f t="shared" si="0"/>
        <v>6857.55</v>
      </c>
      <c r="G6" s="176">
        <f t="shared" si="0"/>
        <v>7200.427500000001</v>
      </c>
      <c r="H6" s="176">
        <f t="shared" si="0"/>
        <v>7560.448875000001</v>
      </c>
    </row>
    <row r="7" spans="1:8" ht="12.75">
      <c r="A7" s="177" t="s">
        <v>36</v>
      </c>
      <c r="B7" s="178" t="s">
        <v>146</v>
      </c>
      <c r="C7" s="179">
        <v>3752</v>
      </c>
      <c r="D7" s="175">
        <v>1465</v>
      </c>
      <c r="E7" s="175">
        <v>500</v>
      </c>
      <c r="F7" s="176">
        <f t="shared" si="0"/>
        <v>525</v>
      </c>
      <c r="G7" s="176">
        <f t="shared" si="0"/>
        <v>551.25</v>
      </c>
      <c r="H7" s="176">
        <f t="shared" si="0"/>
        <v>578.8125</v>
      </c>
    </row>
    <row r="8" spans="1:8" ht="12.75">
      <c r="A8" s="177" t="s">
        <v>44</v>
      </c>
      <c r="B8" s="178" t="s">
        <v>147</v>
      </c>
      <c r="C8" s="179">
        <v>1487</v>
      </c>
      <c r="D8" s="175">
        <v>907</v>
      </c>
      <c r="E8" s="175">
        <v>1571</v>
      </c>
      <c r="F8" s="176">
        <f t="shared" si="0"/>
        <v>1649.5500000000002</v>
      </c>
      <c r="G8" s="176">
        <f t="shared" si="0"/>
        <v>1732.0275000000004</v>
      </c>
      <c r="H8" s="176">
        <f t="shared" si="0"/>
        <v>1818.6288750000006</v>
      </c>
    </row>
    <row r="9" spans="1:8" ht="12.75">
      <c r="A9" s="177" t="s">
        <v>50</v>
      </c>
      <c r="B9" s="178" t="s">
        <v>148</v>
      </c>
      <c r="C9" s="179">
        <v>2921</v>
      </c>
      <c r="D9" s="180">
        <v>1140</v>
      </c>
      <c r="E9" s="175">
        <v>1864</v>
      </c>
      <c r="F9" s="176">
        <f t="shared" si="0"/>
        <v>1957.2</v>
      </c>
      <c r="G9" s="176">
        <f t="shared" si="0"/>
        <v>2055.06</v>
      </c>
      <c r="H9" s="176">
        <f t="shared" si="0"/>
        <v>2157.813</v>
      </c>
    </row>
    <row r="10" spans="1:8" ht="12.75">
      <c r="A10" s="177" t="s">
        <v>52</v>
      </c>
      <c r="B10" s="178" t="s">
        <v>149</v>
      </c>
      <c r="C10" s="179">
        <v>0</v>
      </c>
      <c r="D10" s="180">
        <v>750</v>
      </c>
      <c r="E10" s="175">
        <v>735</v>
      </c>
      <c r="F10" s="176">
        <f t="shared" si="0"/>
        <v>771.75</v>
      </c>
      <c r="G10" s="176">
        <f t="shared" si="0"/>
        <v>810.3375000000001</v>
      </c>
      <c r="H10" s="176">
        <f t="shared" si="0"/>
        <v>850.8543750000001</v>
      </c>
    </row>
    <row r="11" spans="1:8" ht="12.75">
      <c r="A11" s="177" t="s">
        <v>54</v>
      </c>
      <c r="B11" s="178" t="s">
        <v>150</v>
      </c>
      <c r="C11" s="179">
        <v>2832</v>
      </c>
      <c r="D11" s="180">
        <v>3312</v>
      </c>
      <c r="E11" s="175">
        <v>3279</v>
      </c>
      <c r="F11" s="176">
        <f t="shared" si="0"/>
        <v>3442.9500000000003</v>
      </c>
      <c r="G11" s="176">
        <f t="shared" si="0"/>
        <v>3615.0975000000003</v>
      </c>
      <c r="H11" s="176">
        <f t="shared" si="0"/>
        <v>3795.8523750000004</v>
      </c>
    </row>
    <row r="12" spans="1:8" ht="13.5" thickBot="1">
      <c r="A12" s="181" t="s">
        <v>61</v>
      </c>
      <c r="B12" s="182" t="s">
        <v>151</v>
      </c>
      <c r="C12" s="183">
        <v>139530</v>
      </c>
      <c r="D12" s="184">
        <v>612</v>
      </c>
      <c r="E12" s="185">
        <v>663</v>
      </c>
      <c r="F12" s="186">
        <f t="shared" si="0"/>
        <v>696.15</v>
      </c>
      <c r="G12" s="186">
        <f t="shared" si="0"/>
        <v>730.9575</v>
      </c>
      <c r="H12" s="186">
        <f t="shared" si="0"/>
        <v>767.505375</v>
      </c>
    </row>
    <row r="13" spans="1:8" ht="13.5" thickBot="1">
      <c r="A13" s="187"/>
      <c r="B13" s="187" t="s">
        <v>112</v>
      </c>
      <c r="C13" s="188">
        <f aca="true" t="shared" si="1" ref="C13:H13">SUM(C4:C12)</f>
        <v>263947</v>
      </c>
      <c r="D13" s="188">
        <f t="shared" si="1"/>
        <v>110735</v>
      </c>
      <c r="E13" s="189">
        <f t="shared" si="1"/>
        <v>99987</v>
      </c>
      <c r="F13" s="189">
        <f t="shared" si="1"/>
        <v>104986.35</v>
      </c>
      <c r="G13" s="189">
        <f t="shared" si="1"/>
        <v>110235.66750000001</v>
      </c>
      <c r="H13" s="189">
        <f t="shared" si="1"/>
        <v>115747.450875</v>
      </c>
    </row>
    <row r="14" spans="1:8" ht="13.5" thickBot="1">
      <c r="A14" s="190"/>
      <c r="B14" s="191" t="s">
        <v>152</v>
      </c>
      <c r="C14" s="192">
        <v>124417</v>
      </c>
      <c r="D14" s="192">
        <f>+D13-612</f>
        <v>110123</v>
      </c>
      <c r="E14" s="193">
        <f>+E13</f>
        <v>99987</v>
      </c>
      <c r="F14" s="193">
        <f>+F13</f>
        <v>104986.35</v>
      </c>
      <c r="G14" s="193">
        <f>+G13</f>
        <v>110235.66750000001</v>
      </c>
      <c r="H14" s="193">
        <f>+H13</f>
        <v>115747.450875</v>
      </c>
    </row>
    <row r="15" spans="2:8" ht="17.25">
      <c r="B15" s="194"/>
      <c r="E15" s="195"/>
      <c r="F15" s="195"/>
      <c r="G15" s="196"/>
      <c r="H15" s="196"/>
    </row>
    <row r="16" spans="1:8" ht="18" thickBot="1">
      <c r="A16" s="194" t="s">
        <v>153</v>
      </c>
      <c r="B16" s="190"/>
      <c r="E16" s="195"/>
      <c r="F16" s="195"/>
      <c r="G16" s="196"/>
      <c r="H16" s="196"/>
    </row>
    <row r="17" spans="1:8" ht="13.5" thickBot="1">
      <c r="A17" s="197" t="s">
        <v>1</v>
      </c>
      <c r="B17" s="198" t="s">
        <v>2</v>
      </c>
      <c r="C17" s="199" t="s">
        <v>185</v>
      </c>
      <c r="D17" s="199">
        <v>2010</v>
      </c>
      <c r="E17" s="170">
        <v>2011</v>
      </c>
      <c r="F17" s="170">
        <v>2012</v>
      </c>
      <c r="G17" s="170">
        <v>2013</v>
      </c>
      <c r="H17" s="170">
        <v>2014</v>
      </c>
    </row>
    <row r="18" spans="1:8" ht="12.75">
      <c r="A18" s="200" t="s">
        <v>6</v>
      </c>
      <c r="B18" s="201" t="s">
        <v>154</v>
      </c>
      <c r="C18" s="202">
        <v>5333</v>
      </c>
      <c r="D18" s="203">
        <v>5437</v>
      </c>
      <c r="E18" s="204">
        <v>5565</v>
      </c>
      <c r="F18" s="205">
        <f>+E18*1.05</f>
        <v>5843.25</v>
      </c>
      <c r="G18" s="205">
        <f>+F18*1.05</f>
        <v>6135.4125</v>
      </c>
      <c r="H18" s="205">
        <f>+G18*1.05</f>
        <v>6442.1831250000005</v>
      </c>
    </row>
    <row r="19" spans="1:8" ht="12.75">
      <c r="A19" s="177" t="s">
        <v>14</v>
      </c>
      <c r="B19" s="178" t="s">
        <v>155</v>
      </c>
      <c r="C19" s="206">
        <v>27271</v>
      </c>
      <c r="D19" s="207">
        <v>27312</v>
      </c>
      <c r="E19" s="175">
        <v>30153</v>
      </c>
      <c r="F19" s="176">
        <f>+E19*1.05</f>
        <v>31660.65</v>
      </c>
      <c r="G19" s="176">
        <v>32000</v>
      </c>
      <c r="H19" s="176">
        <v>32001</v>
      </c>
    </row>
    <row r="20" spans="1:8" ht="12.75">
      <c r="A20" s="177" t="s">
        <v>20</v>
      </c>
      <c r="B20" s="178" t="s">
        <v>156</v>
      </c>
      <c r="C20" s="206">
        <v>2686</v>
      </c>
      <c r="D20" s="207">
        <v>2763</v>
      </c>
      <c r="E20" s="175">
        <v>2881</v>
      </c>
      <c r="F20" s="176">
        <f>+E20*1.05</f>
        <v>3025.05</v>
      </c>
      <c r="G20" s="176">
        <f aca="true" t="shared" si="2" ref="G20:H26">+F20*1.05</f>
        <v>3176.3025000000002</v>
      </c>
      <c r="H20" s="176">
        <f t="shared" si="2"/>
        <v>3335.1176250000003</v>
      </c>
    </row>
    <row r="21" spans="1:8" ht="12.75">
      <c r="A21" s="177" t="s">
        <v>36</v>
      </c>
      <c r="B21" s="178" t="s">
        <v>157</v>
      </c>
      <c r="C21" s="206">
        <v>39604</v>
      </c>
      <c r="D21" s="175">
        <v>27719</v>
      </c>
      <c r="E21" s="176">
        <f>9000+16000</f>
        <v>25000</v>
      </c>
      <c r="F21" s="176">
        <v>15500</v>
      </c>
      <c r="G21" s="176">
        <f t="shared" si="2"/>
        <v>16275</v>
      </c>
      <c r="H21" s="176">
        <f t="shared" si="2"/>
        <v>17088.75</v>
      </c>
    </row>
    <row r="22" spans="1:8" ht="12.75">
      <c r="A22" s="177" t="s">
        <v>44</v>
      </c>
      <c r="B22" s="178" t="s">
        <v>158</v>
      </c>
      <c r="C22" s="206">
        <v>11052</v>
      </c>
      <c r="D22" s="207">
        <v>10450</v>
      </c>
      <c r="E22" s="175">
        <v>10329</v>
      </c>
      <c r="F22" s="176">
        <f>+E22*1.05</f>
        <v>10845.45</v>
      </c>
      <c r="G22" s="176">
        <f t="shared" si="2"/>
        <v>11387.722500000002</v>
      </c>
      <c r="H22" s="176">
        <f t="shared" si="2"/>
        <v>11957.108625000003</v>
      </c>
    </row>
    <row r="23" spans="1:8" ht="12.75">
      <c r="A23" s="177" t="s">
        <v>50</v>
      </c>
      <c r="B23" s="178" t="s">
        <v>159</v>
      </c>
      <c r="C23" s="206">
        <v>4202</v>
      </c>
      <c r="D23" s="207">
        <f>5360+71</f>
        <v>5431</v>
      </c>
      <c r="E23" s="175">
        <v>4761</v>
      </c>
      <c r="F23" s="176">
        <f>+E23*1.05</f>
        <v>4999.05</v>
      </c>
      <c r="G23" s="176">
        <f t="shared" si="2"/>
        <v>5249.0025000000005</v>
      </c>
      <c r="H23" s="176">
        <f t="shared" si="2"/>
        <v>5511.452625000001</v>
      </c>
    </row>
    <row r="24" spans="1:8" ht="12.75">
      <c r="A24" s="177" t="s">
        <v>52</v>
      </c>
      <c r="B24" s="178" t="s">
        <v>160</v>
      </c>
      <c r="C24" s="206">
        <v>27732</v>
      </c>
      <c r="D24" s="207">
        <v>26490</v>
      </c>
      <c r="E24" s="175">
        <v>28983</v>
      </c>
      <c r="F24" s="176">
        <f>+E24*1.05</f>
        <v>30432.15</v>
      </c>
      <c r="G24" s="176">
        <f t="shared" si="2"/>
        <v>31953.757500000003</v>
      </c>
      <c r="H24" s="176">
        <f t="shared" si="2"/>
        <v>33551.445375</v>
      </c>
    </row>
    <row r="25" spans="1:8" ht="12.75">
      <c r="A25" s="177" t="s">
        <v>54</v>
      </c>
      <c r="B25" s="178" t="s">
        <v>148</v>
      </c>
      <c r="C25" s="206">
        <v>2815</v>
      </c>
      <c r="D25" s="207">
        <v>1605</v>
      </c>
      <c r="E25" s="175">
        <v>1754</v>
      </c>
      <c r="F25" s="176">
        <f>+E25*1.05</f>
        <v>1841.7</v>
      </c>
      <c r="G25" s="176">
        <f t="shared" si="2"/>
        <v>1933.785</v>
      </c>
      <c r="H25" s="176">
        <f t="shared" si="2"/>
        <v>2030.4742500000002</v>
      </c>
    </row>
    <row r="26" spans="1:8" ht="13.5" thickBot="1">
      <c r="A26" s="181" t="s">
        <v>61</v>
      </c>
      <c r="B26" s="182" t="s">
        <v>151</v>
      </c>
      <c r="C26" s="208">
        <v>139489</v>
      </c>
      <c r="D26" s="209">
        <v>612</v>
      </c>
      <c r="E26" s="185">
        <v>663</v>
      </c>
      <c r="F26" s="186">
        <f>+E26*1.05</f>
        <v>696.15</v>
      </c>
      <c r="G26" s="186">
        <f t="shared" si="2"/>
        <v>730.9575</v>
      </c>
      <c r="H26" s="186">
        <f t="shared" si="2"/>
        <v>767.505375</v>
      </c>
    </row>
    <row r="27" spans="1:8" ht="13.5" thickBot="1">
      <c r="A27" s="187"/>
      <c r="B27" s="210" t="s">
        <v>112</v>
      </c>
      <c r="C27" s="211">
        <f aca="true" t="shared" si="3" ref="C27:H27">SUM(C18:C26)</f>
        <v>260184</v>
      </c>
      <c r="D27" s="211">
        <f t="shared" si="3"/>
        <v>107819</v>
      </c>
      <c r="E27" s="189">
        <f t="shared" si="3"/>
        <v>110089</v>
      </c>
      <c r="F27" s="189">
        <f t="shared" si="3"/>
        <v>104843.45</v>
      </c>
      <c r="G27" s="189">
        <f t="shared" si="3"/>
        <v>108841.94000000002</v>
      </c>
      <c r="H27" s="189">
        <f t="shared" si="3"/>
        <v>112685.037</v>
      </c>
    </row>
    <row r="28" spans="1:8" ht="13.5" thickBot="1">
      <c r="A28" s="212"/>
      <c r="B28" s="213" t="s">
        <v>152</v>
      </c>
      <c r="C28" s="214">
        <v>120654</v>
      </c>
      <c r="D28" s="214">
        <f>+D27-612</f>
        <v>107207</v>
      </c>
      <c r="E28" s="214">
        <f>+E27</f>
        <v>110089</v>
      </c>
      <c r="F28" s="214">
        <f>+F27</f>
        <v>104843.45</v>
      </c>
      <c r="G28" s="214">
        <f>+G27</f>
        <v>108841.94000000002</v>
      </c>
      <c r="H28" s="214">
        <f>+H27</f>
        <v>112685.037</v>
      </c>
    </row>
    <row r="30" ht="12.75">
      <c r="B30" s="215"/>
    </row>
    <row r="52" spans="2:8" ht="17.25">
      <c r="B52" s="287" t="s">
        <v>161</v>
      </c>
      <c r="C52" s="287"/>
      <c r="D52" s="287"/>
      <c r="E52" s="287"/>
      <c r="F52" s="287"/>
      <c r="G52" s="287"/>
      <c r="H52" s="287"/>
    </row>
    <row r="53" ht="18" thickBot="1">
      <c r="B53" s="216"/>
    </row>
    <row r="54" spans="2:8" ht="13.5" thickBot="1">
      <c r="B54" s="217" t="s">
        <v>162</v>
      </c>
      <c r="C54" s="169" t="s">
        <v>185</v>
      </c>
      <c r="D54" s="169">
        <v>2010</v>
      </c>
      <c r="E54" s="169">
        <v>2011</v>
      </c>
      <c r="F54" s="169">
        <v>2012</v>
      </c>
      <c r="G54" s="169">
        <v>2013</v>
      </c>
      <c r="H54" s="169">
        <v>2014</v>
      </c>
    </row>
    <row r="55" spans="2:8" ht="13.5" thickBot="1">
      <c r="B55" s="215"/>
      <c r="C55" s="218"/>
      <c r="D55" s="218"/>
      <c r="E55" s="218"/>
      <c r="F55" s="218"/>
      <c r="G55" s="218"/>
      <c r="H55" s="218"/>
    </row>
    <row r="56" spans="2:8" ht="12.75">
      <c r="B56" s="200" t="s">
        <v>163</v>
      </c>
      <c r="C56" s="219">
        <f aca="true" t="shared" si="4" ref="C56:H56">+C14</f>
        <v>124417</v>
      </c>
      <c r="D56" s="220">
        <f t="shared" si="4"/>
        <v>110123</v>
      </c>
      <c r="E56" s="221">
        <f t="shared" si="4"/>
        <v>99987</v>
      </c>
      <c r="F56" s="220">
        <f t="shared" si="4"/>
        <v>104986.35</v>
      </c>
      <c r="G56" s="220">
        <f t="shared" si="4"/>
        <v>110235.66750000001</v>
      </c>
      <c r="H56" s="220">
        <f t="shared" si="4"/>
        <v>115747.450875</v>
      </c>
    </row>
    <row r="57" spans="2:8" ht="13.5" thickBot="1">
      <c r="B57" s="222" t="s">
        <v>164</v>
      </c>
      <c r="C57" s="223">
        <f aca="true" t="shared" si="5" ref="C57:H57">+C28</f>
        <v>120654</v>
      </c>
      <c r="D57" s="224">
        <f t="shared" si="5"/>
        <v>107207</v>
      </c>
      <c r="E57" s="225">
        <f t="shared" si="5"/>
        <v>110089</v>
      </c>
      <c r="F57" s="226">
        <f t="shared" si="5"/>
        <v>104843.45</v>
      </c>
      <c r="G57" s="226">
        <f t="shared" si="5"/>
        <v>108841.94000000002</v>
      </c>
      <c r="H57" s="226">
        <f t="shared" si="5"/>
        <v>112685.037</v>
      </c>
    </row>
    <row r="58" spans="2:8" ht="13.5" thickBot="1">
      <c r="B58" s="187" t="s">
        <v>165</v>
      </c>
      <c r="C58" s="227">
        <f>+C56-C57</f>
        <v>3763</v>
      </c>
      <c r="D58" s="227">
        <f>+D56-D57</f>
        <v>2916</v>
      </c>
      <c r="E58" s="228">
        <f>+E56-E57-1</f>
        <v>-10103</v>
      </c>
      <c r="F58" s="228">
        <f>+F56-F57-1</f>
        <v>141.90000000000873</v>
      </c>
      <c r="G58" s="228">
        <f>+G56-G57-1</f>
        <v>1392.7274999999936</v>
      </c>
      <c r="H58" s="228">
        <f>+H56-H57-1</f>
        <v>3061.4138749999984</v>
      </c>
    </row>
    <row r="59" spans="2:8" ht="13.5" thickBot="1">
      <c r="B59" s="215"/>
      <c r="C59" s="229"/>
      <c r="D59" s="229"/>
      <c r="E59" s="229"/>
      <c r="F59" s="229"/>
      <c r="G59" s="229"/>
      <c r="H59" s="229"/>
    </row>
    <row r="60" spans="2:8" ht="12.75">
      <c r="B60" s="230" t="s">
        <v>166</v>
      </c>
      <c r="C60" s="231">
        <v>20288</v>
      </c>
      <c r="D60" s="232">
        <f>5963+5252+3000-500+5000</f>
        <v>18715</v>
      </c>
      <c r="E60" s="233">
        <v>16132</v>
      </c>
      <c r="F60" s="232">
        <f>3616+500</f>
        <v>4116</v>
      </c>
      <c r="G60" s="232"/>
      <c r="H60" s="232"/>
    </row>
    <row r="61" spans="2:8" ht="12.75">
      <c r="B61" s="234" t="s">
        <v>111</v>
      </c>
      <c r="C61" s="235">
        <v>-22625</v>
      </c>
      <c r="D61" s="236">
        <f>-205-608-1400-3000-12200-5000</f>
        <v>-22413</v>
      </c>
      <c r="E61" s="237">
        <f>-214-608-1400-3000</f>
        <v>-5222</v>
      </c>
      <c r="F61" s="236">
        <f>-224-606-1875</f>
        <v>-2705</v>
      </c>
      <c r="G61" s="236">
        <f>-234-2500</f>
        <v>-2734</v>
      </c>
      <c r="H61" s="236">
        <f>-245-2500</f>
        <v>-2745</v>
      </c>
    </row>
    <row r="62" spans="2:8" ht="13.5" thickBot="1">
      <c r="B62" s="238" t="s">
        <v>167</v>
      </c>
      <c r="C62" s="239">
        <v>-1426</v>
      </c>
      <c r="D62" s="240">
        <v>782</v>
      </c>
      <c r="E62" s="241">
        <v>-807</v>
      </c>
      <c r="F62" s="240">
        <v>-1553</v>
      </c>
      <c r="G62" s="240">
        <v>1341</v>
      </c>
      <c r="H62" s="240">
        <v>-316</v>
      </c>
    </row>
    <row r="63" spans="2:8" ht="13.5" thickBot="1">
      <c r="B63" s="187" t="s">
        <v>168</v>
      </c>
      <c r="C63" s="242">
        <f aca="true" t="shared" si="6" ref="C63:H63">SUM(C60:C62)</f>
        <v>-3763</v>
      </c>
      <c r="D63" s="242">
        <f t="shared" si="6"/>
        <v>-2916</v>
      </c>
      <c r="E63" s="243">
        <f t="shared" si="6"/>
        <v>10103</v>
      </c>
      <c r="F63" s="243">
        <f t="shared" si="6"/>
        <v>-142</v>
      </c>
      <c r="G63" s="243">
        <f t="shared" si="6"/>
        <v>-1393</v>
      </c>
      <c r="H63" s="243">
        <f t="shared" si="6"/>
        <v>-3061</v>
      </c>
    </row>
    <row r="64" spans="2:8" ht="13.5" thickBot="1">
      <c r="B64" s="244"/>
      <c r="C64" s="244"/>
      <c r="D64" s="244"/>
      <c r="E64" s="244"/>
      <c r="F64" s="244"/>
      <c r="G64" s="244"/>
      <c r="H64" s="244"/>
    </row>
    <row r="65" spans="2:8" ht="13.5" thickBot="1">
      <c r="B65" s="217" t="s">
        <v>169</v>
      </c>
      <c r="C65" s="228">
        <f>3789+130</f>
        <v>3919</v>
      </c>
      <c r="D65" s="228">
        <f>C65-D62</f>
        <v>3137</v>
      </c>
      <c r="E65" s="228">
        <f>D65-E62</f>
        <v>3944</v>
      </c>
      <c r="F65" s="228">
        <f>E65-F62</f>
        <v>5497</v>
      </c>
      <c r="G65" s="228">
        <f>F65-G62</f>
        <v>4156</v>
      </c>
      <c r="H65" s="228">
        <f>G65-H62</f>
        <v>4472</v>
      </c>
    </row>
    <row r="66" spans="2:8" ht="13.5" thickBot="1">
      <c r="B66" s="244"/>
      <c r="C66" s="244"/>
      <c r="D66" s="244"/>
      <c r="E66" s="244"/>
      <c r="F66" s="244"/>
      <c r="G66" s="244"/>
      <c r="H66" s="244"/>
    </row>
    <row r="67" spans="2:8" ht="13.5" thickBot="1">
      <c r="B67" s="217" t="s">
        <v>170</v>
      </c>
      <c r="C67" s="245">
        <v>-0.415</v>
      </c>
      <c r="D67" s="245">
        <f>(+D61-800)/(65730)</f>
        <v>-0.35315685379583145</v>
      </c>
      <c r="E67" s="245">
        <f>(+E61-700)/(69016)</f>
        <v>-0.08580618986901588</v>
      </c>
      <c r="F67" s="245">
        <f>(+F61-400)/(72467)</f>
        <v>-0.04284708901982971</v>
      </c>
      <c r="G67" s="245">
        <f>(+G61-50)/(76090)</f>
        <v>-0.03658825075568406</v>
      </c>
      <c r="H67" s="245">
        <f>(+H61-50)/(76090)</f>
        <v>-0.03673281640162965</v>
      </c>
    </row>
    <row r="68" spans="3:8" ht="13.5" thickBot="1">
      <c r="C68" s="166" t="s">
        <v>171</v>
      </c>
      <c r="D68" s="166" t="s">
        <v>171</v>
      </c>
      <c r="E68" s="166" t="s">
        <v>171</v>
      </c>
      <c r="F68" s="166" t="s">
        <v>171</v>
      </c>
      <c r="G68" s="166" t="s">
        <v>171</v>
      </c>
      <c r="H68" s="166" t="s">
        <v>171</v>
      </c>
    </row>
    <row r="69" spans="2:8" ht="13.5" thickBot="1">
      <c r="B69" s="246" t="s">
        <v>172</v>
      </c>
      <c r="C69" s="247">
        <v>17519</v>
      </c>
      <c r="D69" s="247">
        <f>+C69+D60+D61</f>
        <v>13821</v>
      </c>
      <c r="E69" s="247">
        <f>+D69+E60+E61</f>
        <v>24731</v>
      </c>
      <c r="F69" s="247">
        <f>+E69+F60+F61</f>
        <v>26142</v>
      </c>
      <c r="G69" s="247">
        <f>+F69+G60+G61</f>
        <v>23408</v>
      </c>
      <c r="H69" s="247">
        <f>+G69+H60+H61</f>
        <v>20663</v>
      </c>
    </row>
    <row r="70" ht="12.75">
      <c r="B70" s="166" t="s">
        <v>173</v>
      </c>
    </row>
    <row r="74" ht="15">
      <c r="B74" s="248" t="s">
        <v>174</v>
      </c>
    </row>
    <row r="75" spans="2:8" ht="13.5" thickBot="1">
      <c r="B75" s="195" t="s">
        <v>175</v>
      </c>
      <c r="C75" s="249" t="s">
        <v>185</v>
      </c>
      <c r="D75" s="249">
        <v>2010</v>
      </c>
      <c r="E75" s="249">
        <v>2011</v>
      </c>
      <c r="F75" s="249">
        <v>2012</v>
      </c>
      <c r="G75" s="249">
        <v>2013</v>
      </c>
      <c r="H75" s="249">
        <v>2014</v>
      </c>
    </row>
    <row r="76" spans="2:8" ht="12.75">
      <c r="B76" s="230" t="s">
        <v>176</v>
      </c>
      <c r="C76" s="250">
        <v>35574</v>
      </c>
      <c r="D76" s="250">
        <f>SUM(D5:D6)</f>
        <v>38983</v>
      </c>
      <c r="E76" s="250">
        <f>SUM(E5:E6)</f>
        <v>38375</v>
      </c>
      <c r="F76" s="250">
        <f>SUM(F5:F6)</f>
        <v>40293.75000000001</v>
      </c>
      <c r="G76" s="251">
        <f>SUM(G5:G6)</f>
        <v>42308.43750000001</v>
      </c>
      <c r="H76" s="252">
        <f>SUM(H5:H6)</f>
        <v>44423.859375000015</v>
      </c>
    </row>
    <row r="77" spans="2:8" ht="12.75">
      <c r="B77" s="83" t="s">
        <v>177</v>
      </c>
      <c r="C77" s="179">
        <v>7230</v>
      </c>
      <c r="D77" s="179">
        <f>+D13-D76-D78-D79</f>
        <v>6721</v>
      </c>
      <c r="E77" s="179">
        <f>+E13-E76-E78-E79</f>
        <v>8112</v>
      </c>
      <c r="F77" s="179">
        <f>+F13-F76-F78-F79</f>
        <v>8517.599999999999</v>
      </c>
      <c r="G77" s="253">
        <f>+G13-G76-G78-G79</f>
        <v>8943.48000000001</v>
      </c>
      <c r="H77" s="180">
        <f>+H13-H76-H78-H79</f>
        <v>9390.65399999998</v>
      </c>
    </row>
    <row r="78" spans="2:8" ht="12.75">
      <c r="B78" s="83" t="s">
        <v>178</v>
      </c>
      <c r="C78" s="179">
        <v>3752</v>
      </c>
      <c r="D78" s="179">
        <f>+D7</f>
        <v>1465</v>
      </c>
      <c r="E78" s="179">
        <f>+E7</f>
        <v>500</v>
      </c>
      <c r="F78" s="179">
        <f>+F7</f>
        <v>525</v>
      </c>
      <c r="G78" s="253">
        <f>+G7</f>
        <v>551.25</v>
      </c>
      <c r="H78" s="180">
        <f>+H7</f>
        <v>578.8125</v>
      </c>
    </row>
    <row r="79" spans="2:8" ht="13.5" thickBot="1">
      <c r="B79" s="254" t="s">
        <v>179</v>
      </c>
      <c r="C79" s="255">
        <v>217391</v>
      </c>
      <c r="D79" s="255">
        <f>+D4</f>
        <v>63566</v>
      </c>
      <c r="E79" s="255">
        <f>+E4</f>
        <v>53000</v>
      </c>
      <c r="F79" s="255">
        <f>+F4</f>
        <v>55650</v>
      </c>
      <c r="G79" s="256">
        <f>+G4</f>
        <v>58432.5</v>
      </c>
      <c r="H79" s="257">
        <f>+H4</f>
        <v>61354.125</v>
      </c>
    </row>
    <row r="80" spans="2:8" ht="12.75">
      <c r="B80" s="258" t="s">
        <v>163</v>
      </c>
      <c r="C80" s="259">
        <f aca="true" t="shared" si="7" ref="C80:H80">SUM(C76:C79)</f>
        <v>263947</v>
      </c>
      <c r="D80" s="259">
        <f t="shared" si="7"/>
        <v>110735</v>
      </c>
      <c r="E80" s="259">
        <f t="shared" si="7"/>
        <v>99987</v>
      </c>
      <c r="F80" s="259">
        <f t="shared" si="7"/>
        <v>104986.35</v>
      </c>
      <c r="G80" s="260">
        <f t="shared" si="7"/>
        <v>110235.66750000001</v>
      </c>
      <c r="H80" s="261">
        <f t="shared" si="7"/>
        <v>115747.450875</v>
      </c>
    </row>
    <row r="81" spans="2:8" ht="13.5" thickBot="1">
      <c r="B81" s="262" t="s">
        <v>180</v>
      </c>
      <c r="C81" s="263">
        <v>124417</v>
      </c>
      <c r="D81" s="263">
        <f>+D80-612</f>
        <v>110123</v>
      </c>
      <c r="E81" s="263">
        <f>+E80</f>
        <v>99987</v>
      </c>
      <c r="F81" s="263">
        <f>+F80</f>
        <v>104986.35</v>
      </c>
      <c r="G81" s="264">
        <f>+G80</f>
        <v>110235.66750000001</v>
      </c>
      <c r="H81" s="265">
        <f>+H80</f>
        <v>115747.450875</v>
      </c>
    </row>
    <row r="82" spans="3:8" ht="13.5" thickBot="1">
      <c r="C82" s="266"/>
      <c r="D82" s="266"/>
      <c r="E82" s="266"/>
      <c r="F82" s="266"/>
      <c r="G82" s="266"/>
      <c r="H82" s="266"/>
    </row>
    <row r="83" spans="2:8" ht="12.75">
      <c r="B83" s="230" t="s">
        <v>181</v>
      </c>
      <c r="C83" s="250">
        <v>220140</v>
      </c>
      <c r="D83" s="250">
        <f>+D27-D21</f>
        <v>80100</v>
      </c>
      <c r="E83" s="250">
        <f>+E27-E21</f>
        <v>85089</v>
      </c>
      <c r="F83" s="250">
        <f>+F27-F21</f>
        <v>89343.45</v>
      </c>
      <c r="G83" s="251">
        <f>+G27-G21</f>
        <v>92566.94000000002</v>
      </c>
      <c r="H83" s="250">
        <f>+H27-H21</f>
        <v>95596.287</v>
      </c>
    </row>
    <row r="84" spans="2:8" ht="13.5" thickBot="1">
      <c r="B84" s="254" t="s">
        <v>182</v>
      </c>
      <c r="C84" s="183">
        <v>40044</v>
      </c>
      <c r="D84" s="183">
        <f>+D21</f>
        <v>27719</v>
      </c>
      <c r="E84" s="183">
        <f>+E21</f>
        <v>25000</v>
      </c>
      <c r="F84" s="183">
        <f>+F21</f>
        <v>15500</v>
      </c>
      <c r="G84" s="267">
        <f>+G21</f>
        <v>16275</v>
      </c>
      <c r="H84" s="184">
        <f>+H21</f>
        <v>17088.75</v>
      </c>
    </row>
    <row r="85" spans="2:8" ht="12.75">
      <c r="B85" s="268" t="s">
        <v>164</v>
      </c>
      <c r="C85" s="269">
        <f aca="true" t="shared" si="8" ref="C85:H85">SUM(C83:C84)</f>
        <v>260184</v>
      </c>
      <c r="D85" s="269">
        <f t="shared" si="8"/>
        <v>107819</v>
      </c>
      <c r="E85" s="269">
        <f t="shared" si="8"/>
        <v>110089</v>
      </c>
      <c r="F85" s="269">
        <f t="shared" si="8"/>
        <v>104843.45</v>
      </c>
      <c r="G85" s="270">
        <f t="shared" si="8"/>
        <v>108841.94000000002</v>
      </c>
      <c r="H85" s="271">
        <f t="shared" si="8"/>
        <v>112685.037</v>
      </c>
    </row>
    <row r="86" spans="2:8" ht="13.5" thickBot="1">
      <c r="B86" s="262" t="s">
        <v>183</v>
      </c>
      <c r="C86" s="263">
        <v>120654</v>
      </c>
      <c r="D86" s="263">
        <f>+D85-612</f>
        <v>107207</v>
      </c>
      <c r="E86" s="263">
        <f>+E85</f>
        <v>110089</v>
      </c>
      <c r="F86" s="263">
        <f>+F85</f>
        <v>104843.45</v>
      </c>
      <c r="G86" s="264">
        <f>+G85</f>
        <v>108841.94000000002</v>
      </c>
      <c r="H86" s="265">
        <f>+H85</f>
        <v>112685.037</v>
      </c>
    </row>
    <row r="87" spans="3:8" ht="13.5" thickBot="1">
      <c r="C87" s="266"/>
      <c r="D87" s="266"/>
      <c r="E87" s="266"/>
      <c r="F87" s="266"/>
      <c r="G87" s="266"/>
      <c r="H87" s="266"/>
    </row>
    <row r="88" spans="2:8" ht="13.5" thickBot="1">
      <c r="B88" s="272" t="s">
        <v>184</v>
      </c>
      <c r="C88" s="273">
        <f>+C81-C86</f>
        <v>3763</v>
      </c>
      <c r="D88" s="273">
        <f>+D81-D86</f>
        <v>2916</v>
      </c>
      <c r="E88" s="273">
        <f>+E81-E86</f>
        <v>-10102</v>
      </c>
      <c r="F88" s="273">
        <f>+F81-F86</f>
        <v>142.90000000000873</v>
      </c>
      <c r="G88" s="274">
        <f>+G81-G86-1</f>
        <v>1392.7274999999936</v>
      </c>
      <c r="H88" s="275">
        <f>+H81-H86-1</f>
        <v>3061.4138749999984</v>
      </c>
    </row>
    <row r="91" spans="3:7" ht="12.75">
      <c r="C91" s="276"/>
      <c r="D91" s="276"/>
      <c r="E91" s="276"/>
      <c r="F91" s="276"/>
      <c r="G91" s="276"/>
    </row>
  </sheetData>
  <mergeCells count="1">
    <mergeCell ref="B52:H52"/>
  </mergeCells>
  <printOptions/>
  <pageMargins left="0.58" right="0.46" top="1" bottom="0.89" header="0.4921259845" footer="0.4921259845"/>
  <pageSetup horizontalDpi="600" verticalDpi="600" orientation="portrait" paperSize="9" scale="105" r:id="rId2"/>
  <headerFooter alignWithMargins="0">
    <oddHeader>&amp;C&amp;"Arial CE,Tučná kurzíva"&amp;14Rozpočtový výhled 2010-2014 - schválený ZM 24.6.2010
</oddHeader>
    <oddFooter>&amp;Lvyvěšeno: 
svěšeno:&amp;Rsestavil Ing.Hodek</oddFooter>
  </headerFooter>
  <rowBreaks count="1" manualBreakCount="1">
    <brk id="49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Blovice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hodekm</dc:creator>
  <cp:keywords/>
  <dc:description/>
  <cp:lastModifiedBy>hodekm</cp:lastModifiedBy>
  <cp:lastPrinted>2010-07-07T09:59:26Z</cp:lastPrinted>
  <dcterms:created xsi:type="dcterms:W3CDTF">2010-01-11T13:30:23Z</dcterms:created>
  <dcterms:modified xsi:type="dcterms:W3CDTF">2010-07-09T06:13:57Z</dcterms:modified>
  <cp:category/>
  <cp:version/>
  <cp:contentType/>
  <cp:contentStatus/>
</cp:coreProperties>
</file>