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9980" windowHeight="9468" activeTab="0"/>
  </bookViews>
  <sheets>
    <sheet name="Příjmy_Výdaje" sheetId="1" r:id="rId1"/>
    <sheet name="výhled 2010_14" sheetId="2" r:id="rId2"/>
  </sheets>
  <definedNames>
    <definedName name="_xlnm.Print_Area" localSheetId="0">'Příjmy_Výdaje'!$A$1:$H$121</definedName>
    <definedName name="_xlnm.Print_Area" localSheetId="1">'výhled 2010_14'!$A$1:$H$88</definedName>
  </definedNames>
  <calcPr fullCalcOnLoad="1"/>
</workbook>
</file>

<file path=xl/sharedStrings.xml><?xml version="1.0" encoding="utf-8"?>
<sst xmlns="http://schemas.openxmlformats.org/spreadsheetml/2006/main" count="273" uniqueCount="190">
  <si>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</si>
  <si>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</si>
  <si>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</si>
  <si>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</si>
  <si>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</si>
  <si>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</si>
  <si>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</si>
  <si>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</si>
  <si>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</si>
  <si>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</si>
  <si>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soc. dávky</t>
  </si>
  <si>
    <t>rekonstrukce polikliniky (ROP)</t>
  </si>
  <si>
    <t>LD_knihovna (ROP)</t>
  </si>
  <si>
    <t>ostatní (ÚP, LČR, KúPK)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</si>
  <si>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</si>
  <si>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</si>
  <si>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</si>
  <si>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</si>
  <si>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</si>
  <si>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</si>
  <si>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</si>
  <si>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</si>
  <si>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</si>
  <si>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</si>
  <si>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</si>
  <si>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</si>
  <si>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</si>
  <si>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</si>
  <si>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</si>
  <si>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</si>
  <si>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</si>
  <si>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</si>
  <si>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</si>
  <si>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</si>
  <si>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</si>
  <si>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</si>
  <si>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</si>
  <si>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</si>
  <si>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bytů, staveb</t>
  </si>
  <si>
    <t>(prodeje)</t>
  </si>
  <si>
    <t>prodeje pozemků Hradiště II</t>
  </si>
  <si>
    <t>prodeje pozemků ost.</t>
  </si>
  <si>
    <t>prodeje plynovodů + inv.přísp.</t>
  </si>
  <si>
    <t>převod od byt.družstva Am.</t>
  </si>
  <si>
    <t>V.</t>
  </si>
  <si>
    <t>NÁJMY</t>
  </si>
  <si>
    <t>ost.nebyt.prostory, pozemky</t>
  </si>
  <si>
    <t>kotelny (TEBYT BTZ)</t>
  </si>
  <si>
    <t>VI.</t>
  </si>
  <si>
    <t>LESY</t>
  </si>
  <si>
    <t>VII.</t>
  </si>
  <si>
    <t>BYT.HOSP - převod</t>
  </si>
  <si>
    <t>VIII.</t>
  </si>
  <si>
    <t>ZVL.PŘÍJMY</t>
  </si>
  <si>
    <t>úroky,ostatní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</si>
  <si>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</si>
  <si>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</si>
  <si>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</si>
  <si>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</si>
  <si>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</si>
  <si>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</si>
  <si>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</si>
  <si>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</si>
  <si>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</si>
  <si>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</si>
  <si>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</si>
  <si>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</si>
  <si>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</si>
  <si>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</si>
  <si>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ZUŠ</t>
  </si>
  <si>
    <t>DDM</t>
  </si>
  <si>
    <t>MŠ</t>
  </si>
  <si>
    <t>MŠ-ŠJ</t>
  </si>
  <si>
    <t>SPRÁVA MĚÚ</t>
  </si>
  <si>
    <t>Měú Blovice</t>
  </si>
  <si>
    <t>KULTURA/SPORT</t>
  </si>
  <si>
    <t>knihovna</t>
  </si>
  <si>
    <t>Sokol</t>
  </si>
  <si>
    <t>ost.spolky+kult.akce</t>
  </si>
  <si>
    <t>ROZVOJ MĚSTA</t>
  </si>
  <si>
    <t xml:space="preserve">"Čistá Berounka" </t>
  </si>
  <si>
    <t>infrastruktura Hradiště II</t>
  </si>
  <si>
    <t xml:space="preserve">plyn Luční </t>
  </si>
  <si>
    <t>územní plán Blovice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</si>
  <si>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</si>
  <si>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</si>
  <si>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</si>
  <si>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</si>
  <si>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</si>
  <si>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</si>
  <si>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</si>
  <si>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</si>
  <si>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SDH Blovice - provoz</t>
  </si>
  <si>
    <t xml:space="preserve">oprava kolowr.kaple </t>
  </si>
  <si>
    <t>RŮZNÉ VÝDAJE</t>
  </si>
  <si>
    <t>odvody FÚ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</si>
  <si>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</si>
  <si>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</si>
  <si>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</si>
  <si>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</si>
  <si>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</si>
  <si>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</si>
  <si>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ostatní výdaje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</si>
  <si>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</si>
  <si>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</si>
  <si>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</si>
  <si>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</si>
  <si>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</si>
  <si>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</si>
  <si>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</si>
  <si>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</si>
  <si>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</si>
  <si>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</si>
  <si>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</si>
  <si>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</si>
  <si>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</si>
  <si>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</si>
  <si>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</si>
  <si>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vzdělávání eGON (OPLZZ)</t>
  </si>
  <si>
    <t>LD provoz + noviny</t>
  </si>
  <si>
    <t>knihovna (ROP)</t>
  </si>
  <si>
    <t>poliklinika (ROP)</t>
  </si>
  <si>
    <t>házenkářské hřiště SOKOL</t>
  </si>
  <si>
    <t>obnova vodovodů</t>
  </si>
  <si>
    <t>pomník obětem svět.válek</t>
  </si>
  <si>
    <t>stavební úpravy Štítov hostinec</t>
  </si>
  <si>
    <t>chodník Setecká</t>
  </si>
  <si>
    <t>chodník Husova</t>
  </si>
  <si>
    <t>Poč.stav prostř.na účtech rozp.hosp.</t>
  </si>
  <si>
    <t>nevyuž.dotace 2009</t>
  </si>
  <si>
    <t>Přijaté úvěry(revolving+poliklinika+ČB)</t>
  </si>
  <si>
    <t>pomník obětem svět.válek (MO)</t>
  </si>
  <si>
    <t>vinárna MKS LD</t>
  </si>
  <si>
    <t>knihovna - PK</t>
  </si>
  <si>
    <t>Štítov okna - SZIF</t>
  </si>
  <si>
    <t>příspěvek Nadace ČEZ - hřiště</t>
  </si>
  <si>
    <t>ostatní</t>
  </si>
  <si>
    <t>kolowratská kaple (MK)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</si>
  <si>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</si>
  <si>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</si>
  <si>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</si>
  <si>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</si>
  <si>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</si>
  <si>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</si>
  <si>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</si>
  <si>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</si>
  <si>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</si>
  <si>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</si>
  <si>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</si>
  <si>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</si>
  <si>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</si>
  <si>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</si>
  <si>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</si>
  <si>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</si>
  <si>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</si>
  <si>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</si>
  <si>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</si>
  <si>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</si>
  <si>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</si>
  <si>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</si>
  <si>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</si>
  <si>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</si>
  <si>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</si>
  <si>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</si>
  <si>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</si>
  <si>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</si>
  <si>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</si>
  <si>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</si>
  <si>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</si>
  <si>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</si>
  <si>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</si>
  <si>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</si>
  <si>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</si>
  <si>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</si>
  <si>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</si>
  <si>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</si>
  <si>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</si>
  <si>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</si>
  <si>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</si>
  <si>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</si>
  <si>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</si>
  <si>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výsl.2009</t>
  </si>
  <si>
    <t>Městská policie+kamerový systém</t>
  </si>
  <si>
    <t>III.úprava</t>
  </si>
  <si>
    <t>nájem vodovodů a kanal. (ČEVAK)</t>
  </si>
  <si>
    <t>nebyt. prostory (KB)</t>
  </si>
  <si>
    <t>IV.úprava</t>
  </si>
  <si>
    <t>Štítov - soc.zařízení</t>
  </si>
  <si>
    <t>podíl investic na celkových výdajích</t>
  </si>
  <si>
    <t>podíl běžných výdajů na celk.výdajích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</si>
</sst>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3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  <font>
      <b/>
      <i/>
      <sz val="10"/>
      <color indexed="8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i/>
      <sz val="14"/>
      <name val="Arial CE"/>
      <family val="2"/>
    </font>
    <font>
      <sz val="20"/>
      <name val="Arial CE"/>
      <family val="0"/>
    </font>
    <font>
      <sz val="16.5"/>
      <name val="Arial CE"/>
      <family val="0"/>
    </font>
    <font>
      <sz val="11.25"/>
      <name val="Arial CE"/>
      <family val="2"/>
    </font>
    <font>
      <sz val="8.75"/>
      <name val="Arial CE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" fontId="9" fillId="0" borderId="28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" fontId="9" fillId="0" borderId="29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30" xfId="0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10" fillId="0" borderId="28" xfId="0" applyNumberFormat="1" applyFont="1" applyFill="1" applyBorder="1" applyAlignment="1">
      <alignment/>
    </xf>
    <xf numFmtId="1" fontId="10" fillId="0" borderId="2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28" xfId="0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40" xfId="0" applyFont="1" applyFill="1" applyBorder="1" applyAlignment="1">
      <alignment/>
    </xf>
    <xf numFmtId="0" fontId="0" fillId="0" borderId="29" xfId="0" applyFill="1" applyBorder="1" applyAlignment="1">
      <alignment/>
    </xf>
    <xf numFmtId="0" fontId="6" fillId="0" borderId="19" xfId="0" applyFont="1" applyFill="1" applyBorder="1" applyAlignment="1">
      <alignment/>
    </xf>
    <xf numFmtId="1" fontId="6" fillId="0" borderId="41" xfId="0" applyNumberFormat="1" applyFont="1" applyFill="1" applyBorder="1" applyAlignment="1">
      <alignment/>
    </xf>
    <xf numFmtId="0" fontId="5" fillId="0" borderId="10" xfId="20" applyFont="1" applyBorder="1">
      <alignment/>
      <protection/>
    </xf>
    <xf numFmtId="0" fontId="11" fillId="0" borderId="3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64" fontId="12" fillId="0" borderId="39" xfId="0" applyNumberFormat="1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1" fontId="12" fillId="0" borderId="29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1" fontId="12" fillId="0" borderId="25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/>
    </xf>
    <xf numFmtId="1" fontId="13" fillId="0" borderId="29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9" fontId="5" fillId="0" borderId="39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29" xfId="0" applyNumberFormat="1" applyFont="1" applyFill="1" applyBorder="1" applyAlignment="1" applyProtection="1">
      <alignment/>
      <protection locked="0"/>
    </xf>
    <xf numFmtId="1" fontId="5" fillId="0" borderId="28" xfId="0" applyNumberFormat="1" applyFont="1" applyFill="1" applyBorder="1" applyAlignment="1">
      <alignment/>
    </xf>
    <xf numFmtId="1" fontId="5" fillId="0" borderId="39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29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44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1" fontId="5" fillId="0" borderId="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" fontId="14" fillId="0" borderId="28" xfId="0" applyNumberFormat="1" applyFont="1" applyFill="1" applyBorder="1" applyAlignment="1">
      <alignment/>
    </xf>
    <xf numFmtId="1" fontId="14" fillId="0" borderId="2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38" xfId="0" applyNumberFormat="1" applyFont="1" applyFill="1" applyBorder="1" applyAlignment="1">
      <alignment/>
    </xf>
    <xf numFmtId="1" fontId="5" fillId="0" borderId="41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3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38" xfId="0" applyFont="1" applyFill="1" applyBorder="1" applyAlignment="1">
      <alignment/>
    </xf>
    <xf numFmtId="0" fontId="4" fillId="0" borderId="0" xfId="20" applyFont="1">
      <alignment/>
      <protection/>
    </xf>
    <xf numFmtId="0" fontId="5" fillId="0" borderId="0" xfId="20">
      <alignment/>
      <protection/>
    </xf>
    <xf numFmtId="0" fontId="7" fillId="0" borderId="25" xfId="20" applyFont="1" applyBorder="1" applyAlignment="1">
      <alignment horizontal="center"/>
      <protection/>
    </xf>
    <xf numFmtId="0" fontId="7" fillId="0" borderId="27" xfId="20" applyFont="1" applyBorder="1" applyAlignment="1">
      <alignment horizontal="center"/>
      <protection/>
    </xf>
    <xf numFmtId="0" fontId="15" fillId="0" borderId="34" xfId="20" applyFont="1" applyFill="1" applyBorder="1" applyAlignment="1">
      <alignment horizontal="center"/>
      <protection/>
    </xf>
    <xf numFmtId="0" fontId="15" fillId="0" borderId="34" xfId="20" applyFont="1" applyFill="1" applyBorder="1" applyAlignment="1">
      <alignment horizontal="center"/>
      <protection/>
    </xf>
    <xf numFmtId="0" fontId="6" fillId="0" borderId="19" xfId="20" applyFont="1" applyBorder="1">
      <alignment/>
      <protection/>
    </xf>
    <xf numFmtId="0" fontId="6" fillId="0" borderId="20" xfId="20" applyFont="1" applyBorder="1">
      <alignment/>
      <protection/>
    </xf>
    <xf numFmtId="1" fontId="5" fillId="0" borderId="20" xfId="20" applyNumberFormat="1" applyBorder="1">
      <alignment/>
      <protection/>
    </xf>
    <xf numFmtId="1" fontId="5" fillId="0" borderId="38" xfId="20" applyNumberFormat="1" applyBorder="1">
      <alignment/>
      <protection/>
    </xf>
    <xf numFmtId="1" fontId="5" fillId="0" borderId="41" xfId="20" applyNumberFormat="1" applyFont="1" applyBorder="1">
      <alignment/>
      <protection/>
    </xf>
    <xf numFmtId="1" fontId="5" fillId="0" borderId="39" xfId="20" applyNumberFormat="1" applyFont="1" applyBorder="1">
      <alignment/>
      <protection/>
    </xf>
    <xf numFmtId="0" fontId="6" fillId="0" borderId="10" xfId="20" applyFont="1" applyBorder="1">
      <alignment/>
      <protection/>
    </xf>
    <xf numFmtId="0" fontId="6" fillId="0" borderId="11" xfId="20" applyFont="1" applyBorder="1">
      <alignment/>
      <protection/>
    </xf>
    <xf numFmtId="1" fontId="5" fillId="0" borderId="11" xfId="20" applyNumberFormat="1" applyBorder="1">
      <alignment/>
      <protection/>
    </xf>
    <xf numFmtId="1" fontId="5" fillId="0" borderId="39" xfId="20" applyNumberFormat="1" applyBorder="1">
      <alignment/>
      <protection/>
    </xf>
    <xf numFmtId="0" fontId="6" fillId="0" borderId="16" xfId="20" applyFont="1" applyFill="1" applyBorder="1">
      <alignment/>
      <protection/>
    </xf>
    <xf numFmtId="0" fontId="6" fillId="0" borderId="17" xfId="20" applyFont="1" applyBorder="1">
      <alignment/>
      <protection/>
    </xf>
    <xf numFmtId="1" fontId="5" fillId="0" borderId="17" xfId="20" applyNumberFormat="1" applyBorder="1">
      <alignment/>
      <protection/>
    </xf>
    <xf numFmtId="1" fontId="5" fillId="0" borderId="29" xfId="20" applyNumberFormat="1" applyBorder="1">
      <alignment/>
      <protection/>
    </xf>
    <xf numFmtId="1" fontId="5" fillId="0" borderId="44" xfId="20" applyNumberFormat="1" applyFont="1" applyBorder="1">
      <alignment/>
      <protection/>
    </xf>
    <xf numFmtId="0" fontId="6" fillId="0" borderId="40" xfId="20" applyFont="1" applyBorder="1">
      <alignment/>
      <protection/>
    </xf>
    <xf numFmtId="1" fontId="8" fillId="0" borderId="42" xfId="20" applyNumberFormat="1" applyFont="1" applyFill="1" applyBorder="1">
      <alignment/>
      <protection/>
    </xf>
    <xf numFmtId="1" fontId="8" fillId="0" borderId="34" xfId="20" applyNumberFormat="1" applyFont="1" applyFill="1" applyBorder="1">
      <alignment/>
      <protection/>
    </xf>
    <xf numFmtId="0" fontId="16" fillId="0" borderId="0" xfId="20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" fontId="8" fillId="0" borderId="42" xfId="20" applyNumberFormat="1" applyFont="1" applyFill="1" applyBorder="1" applyAlignment="1">
      <alignment/>
      <protection/>
    </xf>
    <xf numFmtId="1" fontId="8" fillId="0" borderId="42" xfId="20" applyNumberFormat="1" applyFont="1" applyFill="1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4" xfId="20" applyFont="1" applyBorder="1" applyAlignment="1">
      <alignment horizontal="center"/>
      <protection/>
    </xf>
    <xf numFmtId="0" fontId="7" fillId="0" borderId="6" xfId="20" applyFont="1" applyBorder="1" applyAlignment="1">
      <alignment horizontal="center"/>
      <protection/>
    </xf>
    <xf numFmtId="0" fontId="15" fillId="0" borderId="47" xfId="20" applyFont="1" applyFill="1" applyBorder="1" applyAlignment="1">
      <alignment horizontal="center"/>
      <protection/>
    </xf>
    <xf numFmtId="0" fontId="6" fillId="0" borderId="7" xfId="20" applyFont="1" applyBorder="1">
      <alignment/>
      <protection/>
    </xf>
    <xf numFmtId="0" fontId="6" fillId="0" borderId="8" xfId="20" applyFont="1" applyBorder="1">
      <alignment/>
      <protection/>
    </xf>
    <xf numFmtId="1" fontId="5" fillId="0" borderId="8" xfId="20" applyNumberFormat="1" applyFont="1" applyBorder="1">
      <alignment/>
      <protection/>
    </xf>
    <xf numFmtId="1" fontId="5" fillId="0" borderId="28" xfId="20" applyNumberFormat="1" applyFont="1" applyBorder="1">
      <alignment/>
      <protection/>
    </xf>
    <xf numFmtId="1" fontId="5" fillId="0" borderId="38" xfId="20" applyNumberFormat="1" applyFont="1" applyBorder="1">
      <alignment/>
      <protection/>
    </xf>
    <xf numFmtId="1" fontId="5" fillId="0" borderId="11" xfId="20" applyNumberFormat="1" applyFont="1" applyBorder="1">
      <alignment/>
      <protection/>
    </xf>
    <xf numFmtId="1" fontId="5" fillId="0" borderId="39" xfId="20" applyNumberFormat="1" applyFont="1" applyBorder="1">
      <alignment/>
      <protection/>
    </xf>
    <xf numFmtId="1" fontId="5" fillId="0" borderId="17" xfId="20" applyNumberFormat="1" applyFont="1" applyBorder="1">
      <alignment/>
      <protection/>
    </xf>
    <xf numFmtId="1" fontId="5" fillId="0" borderId="29" xfId="20" applyNumberFormat="1" applyFont="1" applyBorder="1">
      <alignment/>
      <protection/>
    </xf>
    <xf numFmtId="0" fontId="6" fillId="0" borderId="37" xfId="20" applyFont="1" applyBorder="1">
      <alignment/>
      <protection/>
    </xf>
    <xf numFmtId="1" fontId="8" fillId="0" borderId="42" xfId="20" applyNumberFormat="1" applyFont="1" applyFill="1" applyBorder="1">
      <alignment/>
      <protection/>
    </xf>
    <xf numFmtId="0" fontId="5" fillId="0" borderId="0" xfId="20" applyFont="1">
      <alignment/>
      <protection/>
    </xf>
    <xf numFmtId="0" fontId="6" fillId="0" borderId="1" xfId="20" applyFont="1" applyFill="1" applyBorder="1">
      <alignment/>
      <protection/>
    </xf>
    <xf numFmtId="1" fontId="6" fillId="0" borderId="42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15" fillId="0" borderId="0" xfId="20" applyFont="1" applyFill="1" applyBorder="1" applyAlignment="1">
      <alignment horizontal="center"/>
      <protection/>
    </xf>
    <xf numFmtId="1" fontId="12" fillId="0" borderId="8" xfId="20" applyNumberFormat="1" applyFont="1" applyFill="1" applyBorder="1">
      <alignment/>
      <protection/>
    </xf>
    <xf numFmtId="1" fontId="12" fillId="0" borderId="28" xfId="20" applyNumberFormat="1" applyFont="1" applyFill="1" applyBorder="1">
      <alignment/>
      <protection/>
    </xf>
    <xf numFmtId="1" fontId="12" fillId="0" borderId="48" xfId="20" applyNumberFormat="1" applyFont="1" applyFill="1" applyBorder="1">
      <alignment/>
      <protection/>
    </xf>
    <xf numFmtId="0" fontId="6" fillId="0" borderId="16" xfId="20" applyFont="1" applyBorder="1">
      <alignment/>
      <protection/>
    </xf>
    <xf numFmtId="1" fontId="12" fillId="0" borderId="17" xfId="20" applyNumberFormat="1" applyFont="1" applyFill="1" applyBorder="1">
      <alignment/>
      <protection/>
    </xf>
    <xf numFmtId="1" fontId="12" fillId="0" borderId="29" xfId="20" applyNumberFormat="1" applyFont="1" applyFill="1" applyBorder="1">
      <alignment/>
      <protection/>
    </xf>
    <xf numFmtId="1" fontId="12" fillId="0" borderId="49" xfId="20" applyNumberFormat="1" applyFont="1" applyFill="1" applyBorder="1">
      <alignment/>
      <protection/>
    </xf>
    <xf numFmtId="1" fontId="12" fillId="0" borderId="44" xfId="20" applyNumberFormat="1" applyFont="1" applyFill="1" applyBorder="1">
      <alignment/>
      <protection/>
    </xf>
    <xf numFmtId="1" fontId="6" fillId="0" borderId="42" xfId="20" applyNumberFormat="1" applyFont="1" applyBorder="1">
      <alignment/>
      <protection/>
    </xf>
    <xf numFmtId="1" fontId="6" fillId="0" borderId="34" xfId="20" applyNumberFormat="1" applyFont="1" applyBorder="1">
      <alignment/>
      <protection/>
    </xf>
    <xf numFmtId="1" fontId="6" fillId="0" borderId="0" xfId="20" applyNumberFormat="1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8" xfId="20" applyBorder="1">
      <alignment/>
      <protection/>
    </xf>
    <xf numFmtId="0" fontId="5" fillId="0" borderId="28" xfId="20" applyBorder="1">
      <alignment/>
      <protection/>
    </xf>
    <xf numFmtId="0" fontId="5" fillId="0" borderId="48" xfId="20" applyBorder="1">
      <alignment/>
      <protection/>
    </xf>
    <xf numFmtId="0" fontId="5" fillId="0" borderId="10" xfId="20" applyBorder="1">
      <alignment/>
      <protection/>
    </xf>
    <xf numFmtId="0" fontId="5" fillId="0" borderId="11" xfId="0" applyFont="1" applyFill="1" applyBorder="1" applyAlignment="1">
      <alignment/>
    </xf>
    <xf numFmtId="0" fontId="5" fillId="0" borderId="39" xfId="20" applyBorder="1">
      <alignment/>
      <protection/>
    </xf>
    <xf numFmtId="0" fontId="5" fillId="0" borderId="41" xfId="20" applyBorder="1">
      <alignment/>
      <protection/>
    </xf>
    <xf numFmtId="0" fontId="5" fillId="0" borderId="16" xfId="20" applyBorder="1">
      <alignment/>
      <protection/>
    </xf>
    <xf numFmtId="0" fontId="5" fillId="0" borderId="17" xfId="20" applyBorder="1">
      <alignment/>
      <protection/>
    </xf>
    <xf numFmtId="0" fontId="5" fillId="0" borderId="29" xfId="20" applyBorder="1">
      <alignment/>
      <protection/>
    </xf>
    <xf numFmtId="0" fontId="5" fillId="0" borderId="50" xfId="20" applyBorder="1">
      <alignment/>
      <protection/>
    </xf>
    <xf numFmtId="0" fontId="6" fillId="0" borderId="42" xfId="20" applyFont="1" applyBorder="1">
      <alignment/>
      <protection/>
    </xf>
    <xf numFmtId="0" fontId="6" fillId="0" borderId="34" xfId="20" applyFont="1" applyBorder="1">
      <alignment/>
      <protection/>
    </xf>
    <xf numFmtId="0" fontId="5" fillId="0" borderId="0" xfId="20" applyBorder="1">
      <alignment/>
      <protection/>
    </xf>
    <xf numFmtId="165" fontId="6" fillId="0" borderId="26" xfId="21" applyNumberFormat="1" applyFont="1" applyBorder="1" applyAlignment="1">
      <alignment/>
    </xf>
    <xf numFmtId="0" fontId="6" fillId="0" borderId="1" xfId="20" applyFont="1" applyFill="1" applyBorder="1">
      <alignment/>
      <protection/>
    </xf>
    <xf numFmtId="0" fontId="6" fillId="0" borderId="26" xfId="20" applyFont="1" applyFill="1" applyBorder="1">
      <alignment/>
      <protection/>
    </xf>
    <xf numFmtId="0" fontId="17" fillId="0" borderId="0" xfId="20" applyFont="1">
      <alignment/>
      <protection/>
    </xf>
    <xf numFmtId="0" fontId="15" fillId="0" borderId="14" xfId="20" applyFont="1" applyFill="1" applyBorder="1" applyAlignment="1">
      <alignment horizontal="center"/>
      <protection/>
    </xf>
    <xf numFmtId="1" fontId="5" fillId="0" borderId="8" xfId="20" applyNumberFormat="1" applyBorder="1">
      <alignment/>
      <protection/>
    </xf>
    <xf numFmtId="1" fontId="5" fillId="0" borderId="9" xfId="20" applyNumberFormat="1" applyBorder="1">
      <alignment/>
      <protection/>
    </xf>
    <xf numFmtId="1" fontId="5" fillId="0" borderId="28" xfId="20" applyNumberFormat="1" applyBorder="1">
      <alignment/>
      <protection/>
    </xf>
    <xf numFmtId="1" fontId="5" fillId="0" borderId="12" xfId="20" applyNumberFormat="1" applyBorder="1">
      <alignment/>
      <protection/>
    </xf>
    <xf numFmtId="0" fontId="5" fillId="0" borderId="16" xfId="20" applyFont="1" applyBorder="1">
      <alignment/>
      <protection/>
    </xf>
    <xf numFmtId="1" fontId="5" fillId="0" borderId="17" xfId="20" applyNumberFormat="1" applyFont="1" applyBorder="1">
      <alignment/>
      <protection/>
    </xf>
    <xf numFmtId="1" fontId="5" fillId="0" borderId="18" xfId="20" applyNumberFormat="1" applyFont="1" applyBorder="1">
      <alignment/>
      <protection/>
    </xf>
    <xf numFmtId="1" fontId="5" fillId="0" borderId="29" xfId="20" applyNumberFormat="1" applyFont="1" applyBorder="1">
      <alignment/>
      <protection/>
    </xf>
    <xf numFmtId="0" fontId="6" fillId="0" borderId="7" xfId="20" applyFont="1" applyBorder="1">
      <alignment/>
      <protection/>
    </xf>
    <xf numFmtId="1" fontId="6" fillId="0" borderId="8" xfId="20" applyNumberFormat="1" applyFont="1" applyBorder="1">
      <alignment/>
      <protection/>
    </xf>
    <xf numFmtId="1" fontId="6" fillId="0" borderId="9" xfId="20" applyNumberFormat="1" applyFont="1" applyBorder="1">
      <alignment/>
      <protection/>
    </xf>
    <xf numFmtId="1" fontId="6" fillId="0" borderId="28" xfId="20" applyNumberFormat="1" applyFont="1" applyBorder="1">
      <alignment/>
      <protection/>
    </xf>
    <xf numFmtId="0" fontId="6" fillId="0" borderId="16" xfId="20" applyFont="1" applyBorder="1">
      <alignment/>
      <protection/>
    </xf>
    <xf numFmtId="1" fontId="6" fillId="0" borderId="17" xfId="20" applyNumberFormat="1" applyFont="1" applyBorder="1">
      <alignment/>
      <protection/>
    </xf>
    <xf numFmtId="1" fontId="6" fillId="0" borderId="18" xfId="20" applyNumberFormat="1" applyFont="1" applyBorder="1">
      <alignment/>
      <protection/>
    </xf>
    <xf numFmtId="1" fontId="6" fillId="0" borderId="29" xfId="20" applyNumberFormat="1" applyFont="1" applyBorder="1">
      <alignment/>
      <protection/>
    </xf>
    <xf numFmtId="1" fontId="5" fillId="0" borderId="0" xfId="20" applyNumberFormat="1">
      <alignment/>
      <protection/>
    </xf>
    <xf numFmtId="1" fontId="5" fillId="0" borderId="18" xfId="20" applyNumberFormat="1" applyBorder="1">
      <alignment/>
      <protection/>
    </xf>
    <xf numFmtId="0" fontId="6" fillId="0" borderId="19" xfId="20" applyFont="1" applyBorder="1">
      <alignment/>
      <protection/>
    </xf>
    <xf numFmtId="1" fontId="6" fillId="0" borderId="20" xfId="20" applyNumberFormat="1" applyFont="1" applyBorder="1">
      <alignment/>
      <protection/>
    </xf>
    <xf numFmtId="1" fontId="6" fillId="0" borderId="21" xfId="20" applyNumberFormat="1" applyFont="1" applyBorder="1">
      <alignment/>
      <protection/>
    </xf>
    <xf numFmtId="1" fontId="6" fillId="0" borderId="38" xfId="20" applyNumberFormat="1" applyFont="1" applyBorder="1">
      <alignment/>
      <protection/>
    </xf>
    <xf numFmtId="0" fontId="6" fillId="0" borderId="25" xfId="20" applyFont="1" applyBorder="1">
      <alignment/>
      <protection/>
    </xf>
    <xf numFmtId="1" fontId="6" fillId="0" borderId="26" xfId="20" applyNumberFormat="1" applyFont="1" applyBorder="1">
      <alignment/>
      <protection/>
    </xf>
    <xf numFmtId="1" fontId="6" fillId="0" borderId="27" xfId="20" applyNumberFormat="1" applyFont="1" applyBorder="1">
      <alignment/>
      <protection/>
    </xf>
    <xf numFmtId="1" fontId="6" fillId="0" borderId="34" xfId="20" applyNumberFormat="1" applyFont="1" applyBorder="1">
      <alignment/>
      <protection/>
    </xf>
    <xf numFmtId="9" fontId="5" fillId="0" borderId="0" xfId="21" applyAlignment="1">
      <alignment/>
    </xf>
    <xf numFmtId="1" fontId="12" fillId="0" borderId="1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19" xfId="0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10" xfId="20" applyFont="1" applyBorder="1">
      <alignment/>
      <protection/>
    </xf>
    <xf numFmtId="1" fontId="6" fillId="0" borderId="43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8" fillId="0" borderId="29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9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5" fontId="5" fillId="0" borderId="0" xfId="21" applyNumberFormat="1" applyAlignment="1">
      <alignment/>
    </xf>
    <xf numFmtId="0" fontId="6" fillId="0" borderId="0" xfId="20" applyFont="1" applyBorder="1">
      <alignment/>
      <protection/>
    </xf>
    <xf numFmtId="1" fontId="6" fillId="0" borderId="0" xfId="20" applyNumberFormat="1" applyFont="1" applyBorder="1">
      <alignment/>
      <protection/>
    </xf>
    <xf numFmtId="1" fontId="6" fillId="0" borderId="10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4" fillId="0" borderId="0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Město Blovice - rozpočtový výhled 2010-2014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7"/>
          <c:w val="1"/>
          <c:h val="0.8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2010_14'!$B$56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2010_14'!$C$54:$H$54</c:f>
              <c:strCache/>
            </c:strRef>
          </c:cat>
          <c:val>
            <c:numRef>
              <c:f>'výhled 2010_14'!$C$56:$H$56</c:f>
              <c:numCache/>
            </c:numRef>
          </c:val>
          <c:shape val="box"/>
        </c:ser>
        <c:ser>
          <c:idx val="1"/>
          <c:order val="1"/>
          <c:tx>
            <c:strRef>
              <c:f>'výhled 2010_14'!$B$57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2010_14'!$C$54:$H$54</c:f>
              <c:strCache/>
            </c:strRef>
          </c:cat>
          <c:val>
            <c:numRef>
              <c:f>'výhled 2010_14'!$C$57:$H$57</c:f>
              <c:numCache/>
            </c:numRef>
          </c:val>
          <c:shape val="box"/>
        </c:ser>
        <c:shape val="box"/>
        <c:axId val="29075755"/>
        <c:axId val="60355204"/>
      </c:bar3DChart>
      <c:catAx>
        <c:axId val="290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60355204"/>
        <c:crosses val="autoZero"/>
        <c:auto val="1"/>
        <c:lblOffset val="100"/>
        <c:noMultiLvlLbl val="0"/>
      </c:catAx>
      <c:valAx>
        <c:axId val="60355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075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625"/>
          <c:y val="0.517"/>
          <c:w val="0.2655"/>
          <c:h val="0.196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581025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48225"/>
        <a:ext cx="57340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0.28125" style="0" customWidth="1"/>
    <col min="5" max="6" width="9.140625" style="134" bestFit="1" customWidth="1"/>
    <col min="7" max="7" width="9.00390625" style="134" bestFit="1" customWidth="1"/>
    <col min="8" max="8" width="8.8515625" style="134" customWidth="1"/>
  </cols>
  <sheetData>
    <row r="1" spans="1:8" ht="18" thickBot="1">
      <c r="A1" s="1" t="s">
        <v>0</v>
      </c>
      <c r="B1" s="2"/>
      <c r="C1" s="2"/>
      <c r="D1" s="3"/>
      <c r="E1" s="281" t="s">
        <v>183</v>
      </c>
      <c r="F1" s="282"/>
      <c r="G1" s="279" t="s">
        <v>186</v>
      </c>
      <c r="H1" s="280"/>
    </row>
    <row r="2" spans="1:8" ht="13.5" thickBot="1">
      <c r="A2" s="4" t="s">
        <v>1</v>
      </c>
      <c r="B2" s="5" t="s">
        <v>2</v>
      </c>
      <c r="C2" s="5" t="s">
        <v>3</v>
      </c>
      <c r="D2" s="6" t="s">
        <v>4</v>
      </c>
      <c r="E2" s="72"/>
      <c r="F2" s="73" t="s">
        <v>5</v>
      </c>
      <c r="G2" s="72"/>
      <c r="H2" s="73" t="s">
        <v>5</v>
      </c>
    </row>
    <row r="3" spans="1:8" ht="12.75">
      <c r="A3" s="7" t="s">
        <v>6</v>
      </c>
      <c r="B3" s="8" t="s">
        <v>7</v>
      </c>
      <c r="C3" s="8">
        <v>1</v>
      </c>
      <c r="D3" s="9" t="s">
        <v>8</v>
      </c>
      <c r="E3" s="74">
        <f>13033.1+282+842+166</f>
        <v>14323.1</v>
      </c>
      <c r="F3" s="75"/>
      <c r="G3" s="259">
        <f>13033.1+282+842+166+207</f>
        <v>14530.1</v>
      </c>
      <c r="H3" s="75"/>
    </row>
    <row r="4" spans="1:8" ht="12.75">
      <c r="A4" s="10"/>
      <c r="B4" s="11"/>
      <c r="C4" s="11">
        <f aca="true" t="shared" si="0" ref="C4:C14">+C3+1</f>
        <v>2</v>
      </c>
      <c r="D4" s="12" t="s">
        <v>9</v>
      </c>
      <c r="E4" s="76">
        <f>889.63+710</f>
        <v>1599.63</v>
      </c>
      <c r="F4" s="77"/>
      <c r="G4" s="76">
        <f>889.63+710</f>
        <v>1599.63</v>
      </c>
      <c r="H4" s="77"/>
    </row>
    <row r="5" spans="1:8" ht="12.75">
      <c r="A5" s="10"/>
      <c r="B5" s="11"/>
      <c r="C5" s="11">
        <f t="shared" si="0"/>
        <v>3</v>
      </c>
      <c r="D5" s="12" t="s">
        <v>10</v>
      </c>
      <c r="E5" s="76">
        <f>5500+22660-2510</f>
        <v>25650</v>
      </c>
      <c r="F5" s="78"/>
      <c r="G5" s="252">
        <f>21100+5500</f>
        <v>26600</v>
      </c>
      <c r="H5" s="78"/>
    </row>
    <row r="6" spans="1:8" ht="12.75">
      <c r="A6" s="13"/>
      <c r="B6" s="14"/>
      <c r="C6" s="11">
        <f t="shared" si="0"/>
        <v>4</v>
      </c>
      <c r="D6" s="15" t="s">
        <v>11</v>
      </c>
      <c r="E6" s="136">
        <v>12103</v>
      </c>
      <c r="F6" s="137"/>
      <c r="G6" s="136">
        <v>12103</v>
      </c>
      <c r="H6" s="137"/>
    </row>
    <row r="7" spans="1:8" ht="12.75">
      <c r="A7" s="13"/>
      <c r="B7" s="14"/>
      <c r="C7" s="11">
        <f t="shared" si="0"/>
        <v>5</v>
      </c>
      <c r="D7" s="12" t="s">
        <v>12</v>
      </c>
      <c r="E7" s="76">
        <v>7700</v>
      </c>
      <c r="F7" s="78"/>
      <c r="G7" s="76">
        <v>7700</v>
      </c>
      <c r="H7" s="78"/>
    </row>
    <row r="8" spans="1:8" ht="12.75">
      <c r="A8" s="13"/>
      <c r="B8" s="14"/>
      <c r="C8" s="11">
        <f t="shared" si="0"/>
        <v>6</v>
      </c>
      <c r="D8" s="135" t="s">
        <v>118</v>
      </c>
      <c r="E8" s="76">
        <f>342+268</f>
        <v>610</v>
      </c>
      <c r="F8" s="78"/>
      <c r="G8" s="76">
        <f>342+268</f>
        <v>610</v>
      </c>
      <c r="H8" s="78"/>
    </row>
    <row r="9" spans="1:8" ht="12.75">
      <c r="A9" s="13"/>
      <c r="B9" s="14"/>
      <c r="C9" s="11">
        <f t="shared" si="0"/>
        <v>7</v>
      </c>
      <c r="D9" s="135" t="s">
        <v>131</v>
      </c>
      <c r="E9" s="76">
        <v>200</v>
      </c>
      <c r="F9" s="78"/>
      <c r="G9" s="76">
        <v>200</v>
      </c>
      <c r="H9" s="78"/>
    </row>
    <row r="10" spans="1:8" ht="12.75">
      <c r="A10" s="13"/>
      <c r="B10" s="14"/>
      <c r="C10" s="11">
        <f t="shared" si="0"/>
        <v>8</v>
      </c>
      <c r="D10" s="138" t="s">
        <v>133</v>
      </c>
      <c r="E10" s="76">
        <v>384</v>
      </c>
      <c r="F10" s="78"/>
      <c r="G10" s="76">
        <v>384</v>
      </c>
      <c r="H10" s="78"/>
    </row>
    <row r="11" spans="1:8" ht="12.75">
      <c r="A11" s="13"/>
      <c r="B11" s="14"/>
      <c r="C11" s="11">
        <f t="shared" si="0"/>
        <v>9</v>
      </c>
      <c r="D11" s="135" t="s">
        <v>134</v>
      </c>
      <c r="E11" s="76">
        <v>183</v>
      </c>
      <c r="F11" s="78"/>
      <c r="G11" s="252">
        <v>184</v>
      </c>
      <c r="H11" s="78"/>
    </row>
    <row r="12" spans="1:8" ht="12.75">
      <c r="A12" s="13"/>
      <c r="B12" s="14"/>
      <c r="C12" s="11">
        <f t="shared" si="0"/>
        <v>10</v>
      </c>
      <c r="D12" s="135" t="s">
        <v>137</v>
      </c>
      <c r="E12" s="76">
        <v>151</v>
      </c>
      <c r="F12" s="78"/>
      <c r="G12" s="76">
        <v>151</v>
      </c>
      <c r="H12" s="78"/>
    </row>
    <row r="13" spans="1:8" ht="12.75">
      <c r="A13" s="13"/>
      <c r="B13" s="14"/>
      <c r="C13" s="11">
        <f t="shared" si="0"/>
        <v>11</v>
      </c>
      <c r="D13" s="25" t="s">
        <v>187</v>
      </c>
      <c r="E13" s="76"/>
      <c r="F13" s="78"/>
      <c r="G13" s="252">
        <v>120</v>
      </c>
      <c r="H13" s="78"/>
    </row>
    <row r="14" spans="1:10" ht="12.75">
      <c r="A14" s="13"/>
      <c r="B14" s="14"/>
      <c r="C14" s="11">
        <f t="shared" si="0"/>
        <v>12</v>
      </c>
      <c r="D14" s="15" t="s">
        <v>13</v>
      </c>
      <c r="E14" s="79">
        <f>14+211+512+49+3+10+50+61+70</f>
        <v>980</v>
      </c>
      <c r="F14" s="78"/>
      <c r="G14" s="16">
        <f>4+14+211+59+525+107+19+70+44+99</f>
        <v>1152</v>
      </c>
      <c r="H14" s="78"/>
      <c r="J14" s="270"/>
    </row>
    <row r="15" spans="1:8" ht="13.5" thickBot="1">
      <c r="A15" s="17"/>
      <c r="B15" s="18"/>
      <c r="C15" s="18"/>
      <c r="D15" s="19" t="s">
        <v>5</v>
      </c>
      <c r="E15" s="80"/>
      <c r="F15" s="81">
        <f>SUM(E3:E14)</f>
        <v>63883.729999999996</v>
      </c>
      <c r="G15" s="80"/>
      <c r="H15" s="265">
        <f>SUM(G3:G14)</f>
        <v>65333.729999999996</v>
      </c>
    </row>
    <row r="16" spans="1:8" ht="12.75">
      <c r="A16" s="20" t="s">
        <v>14</v>
      </c>
      <c r="B16" s="21" t="s">
        <v>15</v>
      </c>
      <c r="C16" s="21">
        <v>1</v>
      </c>
      <c r="D16" s="22" t="s">
        <v>16</v>
      </c>
      <c r="E16" s="82">
        <v>2700</v>
      </c>
      <c r="F16" s="83"/>
      <c r="G16" s="82">
        <v>2700</v>
      </c>
      <c r="H16" s="83"/>
    </row>
    <row r="17" spans="1:8" ht="12.75">
      <c r="A17" s="10"/>
      <c r="B17" s="11"/>
      <c r="C17" s="11">
        <v>2</v>
      </c>
      <c r="D17" s="12" t="s">
        <v>17</v>
      </c>
      <c r="E17" s="76">
        <f>14570*2-40</f>
        <v>29100</v>
      </c>
      <c r="F17" s="78"/>
      <c r="G17" s="76">
        <f>14570*2-40</f>
        <v>29100</v>
      </c>
      <c r="H17" s="78"/>
    </row>
    <row r="18" spans="1:8" ht="12.75">
      <c r="A18" s="10"/>
      <c r="B18" s="11"/>
      <c r="C18" s="11">
        <v>3</v>
      </c>
      <c r="D18" s="12" t="s">
        <v>18</v>
      </c>
      <c r="E18" s="79">
        <v>1363</v>
      </c>
      <c r="F18" s="78"/>
      <c r="G18" s="79">
        <v>1363</v>
      </c>
      <c r="H18" s="78"/>
    </row>
    <row r="19" spans="1:8" ht="13.5" thickBot="1">
      <c r="A19" s="17"/>
      <c r="B19" s="18"/>
      <c r="C19" s="18"/>
      <c r="D19" s="19" t="s">
        <v>19</v>
      </c>
      <c r="E19" s="80"/>
      <c r="F19" s="81">
        <f>SUM(E16:E18)</f>
        <v>33163</v>
      </c>
      <c r="G19" s="80"/>
      <c r="H19" s="81">
        <f>SUM(G16:G18)</f>
        <v>33163</v>
      </c>
    </row>
    <row r="20" spans="1:8" ht="12.75">
      <c r="A20" s="10" t="s">
        <v>20</v>
      </c>
      <c r="B20" s="21" t="s">
        <v>21</v>
      </c>
      <c r="C20" s="11">
        <v>1</v>
      </c>
      <c r="D20" s="12" t="s">
        <v>22</v>
      </c>
      <c r="E20" s="79">
        <v>1300</v>
      </c>
      <c r="F20" s="78"/>
      <c r="G20" s="16">
        <v>1200</v>
      </c>
      <c r="H20" s="78"/>
    </row>
    <row r="21" spans="1:8" ht="12.75">
      <c r="A21" s="10"/>
      <c r="B21" s="11"/>
      <c r="C21" s="11">
        <f aca="true" t="shared" si="1" ref="C21:C30">+C20+1</f>
        <v>2</v>
      </c>
      <c r="D21" s="12" t="s">
        <v>23</v>
      </c>
      <c r="E21" s="79">
        <v>280</v>
      </c>
      <c r="F21" s="78"/>
      <c r="G21" s="79">
        <v>280</v>
      </c>
      <c r="H21" s="78"/>
    </row>
    <row r="22" spans="1:8" ht="12.75">
      <c r="A22" s="10"/>
      <c r="B22" s="11"/>
      <c r="C22" s="11">
        <f t="shared" si="1"/>
        <v>3</v>
      </c>
      <c r="D22" s="12" t="s">
        <v>24</v>
      </c>
      <c r="E22" s="79">
        <v>130</v>
      </c>
      <c r="F22" s="78"/>
      <c r="G22" s="79">
        <v>130</v>
      </c>
      <c r="H22" s="78"/>
    </row>
    <row r="23" spans="1:8" ht="12.75">
      <c r="A23" s="10"/>
      <c r="B23" s="11"/>
      <c r="C23" s="11">
        <f t="shared" si="1"/>
        <v>4</v>
      </c>
      <c r="D23" s="12" t="s">
        <v>25</v>
      </c>
      <c r="E23" s="79">
        <v>240</v>
      </c>
      <c r="F23" s="78"/>
      <c r="G23" s="79">
        <v>240</v>
      </c>
      <c r="H23" s="78"/>
    </row>
    <row r="24" spans="1:8" ht="12.75">
      <c r="A24" s="10"/>
      <c r="B24" s="11"/>
      <c r="C24" s="11">
        <f t="shared" si="1"/>
        <v>5</v>
      </c>
      <c r="D24" s="12" t="s">
        <v>26</v>
      </c>
      <c r="E24" s="79">
        <v>220</v>
      </c>
      <c r="F24" s="78"/>
      <c r="G24" s="79">
        <v>220</v>
      </c>
      <c r="H24" s="78"/>
    </row>
    <row r="25" spans="1:8" ht="12.75">
      <c r="A25" s="10"/>
      <c r="B25" s="11" t="s">
        <v>27</v>
      </c>
      <c r="C25" s="11">
        <f t="shared" si="1"/>
        <v>6</v>
      </c>
      <c r="D25" s="12" t="s">
        <v>28</v>
      </c>
      <c r="E25" s="79">
        <v>1400</v>
      </c>
      <c r="F25" s="78"/>
      <c r="G25" s="79">
        <v>1400</v>
      </c>
      <c r="H25" s="78"/>
    </row>
    <row r="26" spans="1:8" ht="12.75">
      <c r="A26" s="10"/>
      <c r="B26" s="11" t="s">
        <v>29</v>
      </c>
      <c r="C26" s="11">
        <f t="shared" si="1"/>
        <v>7</v>
      </c>
      <c r="D26" s="12" t="s">
        <v>30</v>
      </c>
      <c r="E26" s="79">
        <v>112</v>
      </c>
      <c r="F26" s="78"/>
      <c r="G26" s="79">
        <v>112</v>
      </c>
      <c r="H26" s="78"/>
    </row>
    <row r="27" spans="1:8" ht="12.75">
      <c r="A27" s="10"/>
      <c r="B27" s="11"/>
      <c r="C27" s="11">
        <f t="shared" si="1"/>
        <v>8</v>
      </c>
      <c r="D27" s="12" t="s">
        <v>31</v>
      </c>
      <c r="E27" s="79">
        <v>198</v>
      </c>
      <c r="F27" s="78"/>
      <c r="G27" s="79">
        <v>198</v>
      </c>
      <c r="H27" s="78"/>
    </row>
    <row r="28" spans="1:8" ht="12.75">
      <c r="A28" s="10"/>
      <c r="B28" s="11"/>
      <c r="C28" s="11">
        <f t="shared" si="1"/>
        <v>9</v>
      </c>
      <c r="D28" s="12" t="s">
        <v>32</v>
      </c>
      <c r="E28" s="79">
        <v>70</v>
      </c>
      <c r="F28" s="78"/>
      <c r="G28" s="79">
        <v>70</v>
      </c>
      <c r="H28" s="78"/>
    </row>
    <row r="29" spans="1:8" ht="12.75">
      <c r="A29" s="13"/>
      <c r="B29" s="14"/>
      <c r="C29" s="11">
        <f t="shared" si="1"/>
        <v>10</v>
      </c>
      <c r="D29" s="15" t="s">
        <v>33</v>
      </c>
      <c r="E29" s="84">
        <v>2100</v>
      </c>
      <c r="F29" s="85"/>
      <c r="G29" s="84">
        <v>2100</v>
      </c>
      <c r="H29" s="85"/>
    </row>
    <row r="30" spans="1:8" ht="12.75">
      <c r="A30" s="13"/>
      <c r="B30" s="14" t="s">
        <v>34</v>
      </c>
      <c r="C30" s="11">
        <f t="shared" si="1"/>
        <v>11</v>
      </c>
      <c r="D30" s="15" t="s">
        <v>35</v>
      </c>
      <c r="E30" s="84">
        <v>270</v>
      </c>
      <c r="F30" s="85"/>
      <c r="G30" s="84">
        <v>270</v>
      </c>
      <c r="H30" s="85"/>
    </row>
    <row r="31" spans="1:8" ht="13.5" thickBot="1">
      <c r="A31" s="17"/>
      <c r="B31" s="18"/>
      <c r="C31" s="18"/>
      <c r="D31" s="19" t="s">
        <v>19</v>
      </c>
      <c r="E31" s="80"/>
      <c r="F31" s="86">
        <f>SUM(E20:E30)</f>
        <v>6320</v>
      </c>
      <c r="G31" s="80"/>
      <c r="H31" s="269">
        <f>SUM(G20:G30)</f>
        <v>6220</v>
      </c>
    </row>
    <row r="32" spans="1:8" ht="12.75">
      <c r="A32" s="7" t="s">
        <v>36</v>
      </c>
      <c r="B32" s="8" t="s">
        <v>37</v>
      </c>
      <c r="C32" s="8">
        <v>1</v>
      </c>
      <c r="D32" s="9" t="s">
        <v>38</v>
      </c>
      <c r="E32" s="87">
        <f>50+845</f>
        <v>895</v>
      </c>
      <c r="F32" s="75"/>
      <c r="G32" s="87">
        <f>50+845</f>
        <v>895</v>
      </c>
      <c r="H32" s="75"/>
    </row>
    <row r="33" spans="1:8" ht="12.75">
      <c r="A33" s="10"/>
      <c r="B33" s="11" t="s">
        <v>39</v>
      </c>
      <c r="C33" s="11">
        <v>2</v>
      </c>
      <c r="D33" s="12" t="s">
        <v>40</v>
      </c>
      <c r="E33" s="79">
        <v>2070</v>
      </c>
      <c r="F33" s="78"/>
      <c r="G33" s="79">
        <v>2070</v>
      </c>
      <c r="H33" s="78"/>
    </row>
    <row r="34" spans="1:8" ht="12.75">
      <c r="A34" s="10"/>
      <c r="B34" s="23"/>
      <c r="C34" s="11">
        <v>3</v>
      </c>
      <c r="D34" s="12" t="s">
        <v>41</v>
      </c>
      <c r="E34" s="79">
        <v>90</v>
      </c>
      <c r="F34" s="78"/>
      <c r="G34" s="79">
        <v>90</v>
      </c>
      <c r="H34" s="78"/>
    </row>
    <row r="35" spans="1:8" ht="12.75">
      <c r="A35" s="24"/>
      <c r="C35" s="21">
        <v>4</v>
      </c>
      <c r="D35" s="25" t="s">
        <v>42</v>
      </c>
      <c r="E35" s="88">
        <v>931</v>
      </c>
      <c r="F35" s="89"/>
      <c r="G35" s="88">
        <v>931</v>
      </c>
      <c r="H35" s="89"/>
    </row>
    <row r="36" spans="1:8" ht="12.75">
      <c r="A36" s="13"/>
      <c r="B36" s="14"/>
      <c r="C36" s="21">
        <v>5</v>
      </c>
      <c r="D36" s="15" t="s">
        <v>43</v>
      </c>
      <c r="E36" s="84">
        <v>380</v>
      </c>
      <c r="F36" s="85"/>
      <c r="G36" s="84">
        <v>380</v>
      </c>
      <c r="H36" s="85"/>
    </row>
    <row r="37" spans="1:8" ht="13.5" thickBot="1">
      <c r="A37" s="17"/>
      <c r="B37" s="18"/>
      <c r="C37" s="18"/>
      <c r="D37" s="19" t="s">
        <v>19</v>
      </c>
      <c r="E37" s="80"/>
      <c r="F37" s="86">
        <f>SUM(E32:E36)</f>
        <v>4366</v>
      </c>
      <c r="G37" s="80"/>
      <c r="H37" s="86">
        <f>SUM(G32:G36)</f>
        <v>4366</v>
      </c>
    </row>
    <row r="38" spans="1:8" ht="12.75">
      <c r="A38" s="7" t="s">
        <v>44</v>
      </c>
      <c r="B38" s="26" t="s">
        <v>45</v>
      </c>
      <c r="C38" s="26">
        <v>1</v>
      </c>
      <c r="D38" s="9" t="s">
        <v>185</v>
      </c>
      <c r="E38" s="87">
        <v>134</v>
      </c>
      <c r="F38" s="75"/>
      <c r="G38" s="87">
        <v>134</v>
      </c>
      <c r="H38" s="75"/>
    </row>
    <row r="39" spans="1:8" ht="12.75">
      <c r="A39" s="20"/>
      <c r="B39" s="27"/>
      <c r="C39" s="27">
        <v>2</v>
      </c>
      <c r="D39" s="22" t="s">
        <v>46</v>
      </c>
      <c r="E39" s="82">
        <v>300</v>
      </c>
      <c r="F39" s="83"/>
      <c r="G39" s="82">
        <v>300</v>
      </c>
      <c r="H39" s="83"/>
    </row>
    <row r="40" spans="1:8" ht="12.75">
      <c r="A40" s="10"/>
      <c r="B40" s="28"/>
      <c r="C40" s="28">
        <v>3</v>
      </c>
      <c r="D40" s="12" t="s">
        <v>47</v>
      </c>
      <c r="E40" s="79">
        <v>446</v>
      </c>
      <c r="F40" s="78"/>
      <c r="G40" s="79">
        <v>446</v>
      </c>
      <c r="H40" s="78"/>
    </row>
    <row r="41" spans="1:8" ht="12.75">
      <c r="A41" s="13"/>
      <c r="B41" s="29"/>
      <c r="C41" s="29">
        <v>4</v>
      </c>
      <c r="D41" s="15" t="s">
        <v>184</v>
      </c>
      <c r="E41" s="249">
        <v>27</v>
      </c>
      <c r="F41" s="85"/>
      <c r="G41" s="249">
        <v>27</v>
      </c>
      <c r="H41" s="85"/>
    </row>
    <row r="42" spans="1:8" ht="13.5" thickBot="1">
      <c r="A42" s="17"/>
      <c r="B42" s="30"/>
      <c r="C42" s="30"/>
      <c r="D42" s="19" t="s">
        <v>19</v>
      </c>
      <c r="E42" s="80"/>
      <c r="F42" s="86">
        <f>SUM(E38:E41)</f>
        <v>907</v>
      </c>
      <c r="G42" s="80"/>
      <c r="H42" s="86">
        <f>SUM(G38:G41)</f>
        <v>907</v>
      </c>
    </row>
    <row r="43" spans="1:8" ht="13.5" thickBot="1">
      <c r="A43" s="31" t="s">
        <v>48</v>
      </c>
      <c r="B43" s="32" t="s">
        <v>49</v>
      </c>
      <c r="C43" s="32"/>
      <c r="D43" s="33"/>
      <c r="E43" s="90">
        <v>1140</v>
      </c>
      <c r="F43" s="91">
        <f>SUM(E43)</f>
        <v>1140</v>
      </c>
      <c r="G43" s="90">
        <v>1140</v>
      </c>
      <c r="H43" s="91">
        <f>SUM(G43)</f>
        <v>1140</v>
      </c>
    </row>
    <row r="44" spans="1:8" ht="13.5" thickBot="1">
      <c r="A44" s="34" t="s">
        <v>50</v>
      </c>
      <c r="B44" s="35" t="s">
        <v>51</v>
      </c>
      <c r="C44" s="35"/>
      <c r="D44" s="36"/>
      <c r="E44" s="92">
        <v>750</v>
      </c>
      <c r="F44" s="91">
        <f>SUM(E44)</f>
        <v>750</v>
      </c>
      <c r="G44" s="92">
        <v>750</v>
      </c>
      <c r="H44" s="91">
        <f>SUM(G44)</f>
        <v>750</v>
      </c>
    </row>
    <row r="45" spans="1:8" ht="12.75">
      <c r="A45" s="7" t="s">
        <v>52</v>
      </c>
      <c r="B45" s="26" t="s">
        <v>53</v>
      </c>
      <c r="C45" s="26">
        <v>1</v>
      </c>
      <c r="D45" s="9" t="s">
        <v>54</v>
      </c>
      <c r="E45" s="87">
        <v>25</v>
      </c>
      <c r="F45" s="75"/>
      <c r="G45" s="87">
        <v>25</v>
      </c>
      <c r="H45" s="75"/>
    </row>
    <row r="46" spans="1:8" ht="12.75">
      <c r="A46" s="20"/>
      <c r="B46" s="27"/>
      <c r="C46" s="27">
        <f>+C45+1</f>
        <v>2</v>
      </c>
      <c r="D46" s="22" t="s">
        <v>55</v>
      </c>
      <c r="E46" s="82">
        <v>520</v>
      </c>
      <c r="F46" s="83"/>
      <c r="G46" s="82">
        <v>520</v>
      </c>
      <c r="H46" s="83"/>
    </row>
    <row r="47" spans="1:8" ht="12.75">
      <c r="A47" s="20"/>
      <c r="B47" s="27"/>
      <c r="C47" s="27">
        <f>+C46+1</f>
        <v>3</v>
      </c>
      <c r="D47" s="22" t="s">
        <v>56</v>
      </c>
      <c r="E47" s="82">
        <v>850</v>
      </c>
      <c r="F47" s="83"/>
      <c r="G47" s="82">
        <v>850</v>
      </c>
      <c r="H47" s="83"/>
    </row>
    <row r="48" spans="1:8" ht="12.75">
      <c r="A48" s="20"/>
      <c r="B48" s="27"/>
      <c r="C48" s="27">
        <f>+C47+1</f>
        <v>4</v>
      </c>
      <c r="D48" s="22" t="s">
        <v>57</v>
      </c>
      <c r="E48" s="82">
        <v>490</v>
      </c>
      <c r="F48" s="83"/>
      <c r="G48" s="82">
        <v>490</v>
      </c>
      <c r="H48" s="83"/>
    </row>
    <row r="49" spans="1:8" ht="12.75">
      <c r="A49" s="20"/>
      <c r="B49" s="27"/>
      <c r="C49" s="27">
        <f>+C48+1</f>
        <v>5</v>
      </c>
      <c r="D49" s="22" t="s">
        <v>135</v>
      </c>
      <c r="E49" s="82">
        <v>600</v>
      </c>
      <c r="F49" s="83"/>
      <c r="G49" s="82">
        <v>600</v>
      </c>
      <c r="H49" s="83"/>
    </row>
    <row r="50" spans="1:8" ht="12.75">
      <c r="A50" s="20"/>
      <c r="B50" s="27"/>
      <c r="C50" s="27">
        <f>+C49+1</f>
        <v>6</v>
      </c>
      <c r="D50" s="12" t="s">
        <v>58</v>
      </c>
      <c r="E50" s="79">
        <v>570</v>
      </c>
      <c r="F50" s="78"/>
      <c r="G50" s="16">
        <v>520</v>
      </c>
      <c r="H50" s="78"/>
    </row>
    <row r="51" spans="1:8" ht="13.5" thickBot="1">
      <c r="A51" s="17"/>
      <c r="B51" s="30"/>
      <c r="C51" s="30"/>
      <c r="D51" s="19" t="s">
        <v>19</v>
      </c>
      <c r="E51" s="80"/>
      <c r="F51" s="86">
        <f>SUM(E45:E50)</f>
        <v>3055</v>
      </c>
      <c r="G51" s="80"/>
      <c r="H51" s="269">
        <f>SUM(G45:G50)</f>
        <v>3005</v>
      </c>
    </row>
    <row r="52" spans="1:8" ht="13.5" thickBot="1">
      <c r="A52" s="37" t="s">
        <v>59</v>
      </c>
      <c r="B52" s="32" t="s">
        <v>60</v>
      </c>
      <c r="C52" s="32"/>
      <c r="D52" s="33"/>
      <c r="E52" s="93">
        <v>634</v>
      </c>
      <c r="F52" s="91">
        <f>SUM(E52)</f>
        <v>634</v>
      </c>
      <c r="G52" s="261">
        <v>639</v>
      </c>
      <c r="H52" s="262">
        <f>SUM(G52)</f>
        <v>639</v>
      </c>
    </row>
    <row r="53" spans="1:8" ht="12.75">
      <c r="A53" s="38"/>
      <c r="B53" s="26" t="s">
        <v>61</v>
      </c>
      <c r="C53" s="26"/>
      <c r="D53" s="9"/>
      <c r="E53" s="87"/>
      <c r="F53" s="94">
        <f>SUM(F3:F52)</f>
        <v>114218.73</v>
      </c>
      <c r="G53" s="87"/>
      <c r="H53" s="39">
        <f>SUM(H3:H52)</f>
        <v>115523.73</v>
      </c>
    </row>
    <row r="54" spans="1:8" ht="13.5" thickBot="1">
      <c r="A54" s="40"/>
      <c r="B54" s="30" t="s">
        <v>62</v>
      </c>
      <c r="C54" s="30"/>
      <c r="D54" s="19"/>
      <c r="E54" s="80"/>
      <c r="F54" s="95">
        <f>+F53-634</f>
        <v>113584.73</v>
      </c>
      <c r="G54" s="80"/>
      <c r="H54" s="41">
        <f>+H53-639</f>
        <v>114884.73</v>
      </c>
    </row>
    <row r="55" spans="1:8" ht="18" thickBot="1">
      <c r="A55" s="1" t="s">
        <v>63</v>
      </c>
      <c r="B55" s="42"/>
      <c r="C55" s="42"/>
      <c r="D55" s="42"/>
      <c r="E55" s="281" t="s">
        <v>183</v>
      </c>
      <c r="F55" s="282"/>
      <c r="G55" s="279" t="s">
        <v>186</v>
      </c>
      <c r="H55" s="280"/>
    </row>
    <row r="56" spans="1:8" ht="13.5" thickBot="1">
      <c r="A56" s="43" t="s">
        <v>1</v>
      </c>
      <c r="B56" s="44" t="s">
        <v>2</v>
      </c>
      <c r="C56" s="44" t="s">
        <v>3</v>
      </c>
      <c r="D56" s="45" t="s">
        <v>4</v>
      </c>
      <c r="E56" s="96"/>
      <c r="F56" s="97" t="s">
        <v>5</v>
      </c>
      <c r="G56" s="96"/>
      <c r="H56" s="97" t="s">
        <v>5</v>
      </c>
    </row>
    <row r="57" spans="1:8" ht="12.75">
      <c r="A57" s="7" t="s">
        <v>6</v>
      </c>
      <c r="B57" s="26" t="s">
        <v>64</v>
      </c>
      <c r="C57" s="26">
        <v>1</v>
      </c>
      <c r="D57" s="9" t="s">
        <v>65</v>
      </c>
      <c r="E57" s="98">
        <v>2610</v>
      </c>
      <c r="F57" s="99"/>
      <c r="G57" s="98">
        <v>2610</v>
      </c>
      <c r="H57" s="99"/>
    </row>
    <row r="58" spans="1:8" ht="12.75">
      <c r="A58" s="20"/>
      <c r="B58" s="27"/>
      <c r="C58" s="27">
        <v>2</v>
      </c>
      <c r="D58" s="22" t="s">
        <v>66</v>
      </c>
      <c r="E58" s="100">
        <v>277</v>
      </c>
      <c r="F58" s="101"/>
      <c r="G58" s="100">
        <v>277</v>
      </c>
      <c r="H58" s="101"/>
    </row>
    <row r="59" spans="1:8" ht="12.75">
      <c r="A59" s="10"/>
      <c r="B59" s="28"/>
      <c r="C59" s="27">
        <f aca="true" t="shared" si="2" ref="C59:C64">+C58+1</f>
        <v>3</v>
      </c>
      <c r="D59" s="12" t="s">
        <v>67</v>
      </c>
      <c r="E59" s="100">
        <v>603</v>
      </c>
      <c r="F59" s="101"/>
      <c r="G59" s="100">
        <v>603</v>
      </c>
      <c r="H59" s="101"/>
    </row>
    <row r="60" spans="1:8" ht="12.75">
      <c r="A60" s="10"/>
      <c r="B60" s="28"/>
      <c r="C60" s="27">
        <f t="shared" si="2"/>
        <v>4</v>
      </c>
      <c r="D60" s="12" t="s">
        <v>68</v>
      </c>
      <c r="E60" s="100">
        <f>148-59</f>
        <v>89</v>
      </c>
      <c r="F60" s="102"/>
      <c r="G60" s="100">
        <f>148-59</f>
        <v>89</v>
      </c>
      <c r="H60" s="102"/>
    </row>
    <row r="61" spans="1:8" ht="12.75">
      <c r="A61" s="10"/>
      <c r="B61" s="28"/>
      <c r="C61" s="27">
        <f t="shared" si="2"/>
        <v>5</v>
      </c>
      <c r="D61" s="12" t="s">
        <v>69</v>
      </c>
      <c r="E61" s="100">
        <v>338</v>
      </c>
      <c r="F61" s="101"/>
      <c r="G61" s="100">
        <v>338</v>
      </c>
      <c r="H61" s="101"/>
    </row>
    <row r="62" spans="1:8" ht="12.75">
      <c r="A62" s="10"/>
      <c r="B62" s="28"/>
      <c r="C62" s="27">
        <f t="shared" si="2"/>
        <v>6</v>
      </c>
      <c r="D62" s="12" t="s">
        <v>70</v>
      </c>
      <c r="E62" s="100">
        <f>348+49</f>
        <v>397</v>
      </c>
      <c r="F62" s="101"/>
      <c r="G62" s="100">
        <f>348+49</f>
        <v>397</v>
      </c>
      <c r="H62" s="101"/>
    </row>
    <row r="63" spans="1:8" ht="12.75">
      <c r="A63" s="10"/>
      <c r="B63" s="28"/>
      <c r="C63" s="27">
        <f t="shared" si="2"/>
        <v>7</v>
      </c>
      <c r="D63" s="12" t="s">
        <v>71</v>
      </c>
      <c r="E63" s="100">
        <v>933</v>
      </c>
      <c r="F63" s="101"/>
      <c r="G63" s="100">
        <v>933</v>
      </c>
      <c r="H63" s="101"/>
    </row>
    <row r="64" spans="1:8" ht="12.75">
      <c r="A64" s="13"/>
      <c r="B64" s="29"/>
      <c r="C64" s="27">
        <f t="shared" si="2"/>
        <v>8</v>
      </c>
      <c r="D64" s="15" t="s">
        <v>72</v>
      </c>
      <c r="E64" s="100">
        <v>200</v>
      </c>
      <c r="F64" s="101"/>
      <c r="G64" s="100">
        <v>200</v>
      </c>
      <c r="H64" s="101"/>
    </row>
    <row r="65" spans="1:8" ht="13.5" thickBot="1">
      <c r="A65" s="13"/>
      <c r="B65" s="29"/>
      <c r="C65" s="29"/>
      <c r="D65" s="15" t="s">
        <v>19</v>
      </c>
      <c r="E65" s="103"/>
      <c r="F65" s="104">
        <f>SUM(E57:E64)</f>
        <v>5447</v>
      </c>
      <c r="G65" s="103"/>
      <c r="H65" s="104">
        <f>SUM(G57:G64)</f>
        <v>5447</v>
      </c>
    </row>
    <row r="66" spans="1:8" ht="12.75">
      <c r="A66" s="7" t="s">
        <v>14</v>
      </c>
      <c r="B66" s="26" t="s">
        <v>73</v>
      </c>
      <c r="C66" s="26">
        <v>1</v>
      </c>
      <c r="D66" s="9" t="s">
        <v>74</v>
      </c>
      <c r="E66" s="98">
        <f>26106+90+166</f>
        <v>26362</v>
      </c>
      <c r="F66" s="105"/>
      <c r="G66" s="260">
        <f>26106+90+166+207</f>
        <v>26569</v>
      </c>
      <c r="H66" s="105"/>
    </row>
    <row r="67" spans="1:8" ht="12.75">
      <c r="A67" s="10"/>
      <c r="B67" s="28"/>
      <c r="C67" s="28">
        <v>2</v>
      </c>
      <c r="D67" s="12" t="s">
        <v>182</v>
      </c>
      <c r="E67" s="100">
        <f>870+80</f>
        <v>950</v>
      </c>
      <c r="F67" s="106"/>
      <c r="G67" s="100">
        <f>870+80</f>
        <v>950</v>
      </c>
      <c r="H67" s="106"/>
    </row>
    <row r="68" spans="1:8" ht="13.5" thickBot="1">
      <c r="A68" s="17"/>
      <c r="B68" s="30"/>
      <c r="C68" s="30"/>
      <c r="D68" s="19" t="s">
        <v>5</v>
      </c>
      <c r="E68" s="107"/>
      <c r="F68" s="108">
        <f>SUM(E66:E67)</f>
        <v>27312</v>
      </c>
      <c r="G68" s="107"/>
      <c r="H68" s="46">
        <f>SUM(G66:G67)</f>
        <v>27519</v>
      </c>
    </row>
    <row r="69" spans="1:8" ht="12.75">
      <c r="A69" s="20" t="s">
        <v>20</v>
      </c>
      <c r="B69" s="27" t="s">
        <v>75</v>
      </c>
      <c r="C69" s="27">
        <v>1</v>
      </c>
      <c r="D69" s="22" t="s">
        <v>119</v>
      </c>
      <c r="E69" s="98">
        <v>990</v>
      </c>
      <c r="F69" s="99"/>
      <c r="G69" s="98">
        <v>990</v>
      </c>
      <c r="H69" s="99"/>
    </row>
    <row r="70" spans="1:8" ht="12.75">
      <c r="A70" s="10"/>
      <c r="B70" s="28"/>
      <c r="C70" s="28">
        <v>2</v>
      </c>
      <c r="D70" s="12" t="s">
        <v>76</v>
      </c>
      <c r="E70" s="100">
        <v>1150</v>
      </c>
      <c r="F70" s="101"/>
      <c r="G70" s="100">
        <v>1150</v>
      </c>
      <c r="H70" s="101"/>
    </row>
    <row r="71" spans="1:8" ht="12.75">
      <c r="A71" s="10"/>
      <c r="B71" s="28"/>
      <c r="C71" s="28">
        <v>3</v>
      </c>
      <c r="D71" s="12" t="s">
        <v>77</v>
      </c>
      <c r="E71" s="100">
        <f>223+80</f>
        <v>303</v>
      </c>
      <c r="F71" s="101"/>
      <c r="G71" s="100">
        <f>223+80</f>
        <v>303</v>
      </c>
      <c r="H71" s="101"/>
    </row>
    <row r="72" spans="1:8" ht="12.75">
      <c r="A72" s="10"/>
      <c r="B72" s="28"/>
      <c r="C72" s="28">
        <v>4</v>
      </c>
      <c r="D72" s="12" t="s">
        <v>78</v>
      </c>
      <c r="E72" s="109">
        <v>280</v>
      </c>
      <c r="F72" s="101"/>
      <c r="G72" s="47">
        <v>330</v>
      </c>
      <c r="H72" s="101"/>
    </row>
    <row r="73" spans="1:8" ht="13.5" thickBot="1">
      <c r="A73" s="13"/>
      <c r="B73" s="29"/>
      <c r="C73" s="29"/>
      <c r="D73" s="15" t="s">
        <v>19</v>
      </c>
      <c r="E73" s="110"/>
      <c r="F73" s="111">
        <f>SUM(E69:E72)</f>
        <v>2723</v>
      </c>
      <c r="G73" s="110"/>
      <c r="H73" s="263">
        <f>SUM(G69:G72)</f>
        <v>2773</v>
      </c>
    </row>
    <row r="74" spans="1:8" ht="12.75">
      <c r="A74" s="7" t="s">
        <v>36</v>
      </c>
      <c r="B74" s="35" t="s">
        <v>79</v>
      </c>
      <c r="C74" s="26">
        <v>1</v>
      </c>
      <c r="D74" s="9" t="s">
        <v>80</v>
      </c>
      <c r="E74" s="112">
        <f>5253+143-500</f>
        <v>4896</v>
      </c>
      <c r="F74" s="99"/>
      <c r="G74" s="256">
        <f>5253+69-1500</f>
        <v>3822</v>
      </c>
      <c r="H74" s="99"/>
    </row>
    <row r="75" spans="1:8" ht="12.75">
      <c r="A75" s="13"/>
      <c r="B75" s="29"/>
      <c r="C75" s="27">
        <f aca="true" t="shared" si="3" ref="C75:C88">+C74+1</f>
        <v>2</v>
      </c>
      <c r="D75" s="12" t="s">
        <v>121</v>
      </c>
      <c r="E75" s="109">
        <v>7510</v>
      </c>
      <c r="F75" s="101"/>
      <c r="G75" s="109">
        <v>7510</v>
      </c>
      <c r="H75" s="101"/>
    </row>
    <row r="76" spans="1:8" ht="12.75">
      <c r="A76" s="13"/>
      <c r="B76" s="29"/>
      <c r="C76" s="27">
        <f t="shared" si="3"/>
        <v>3</v>
      </c>
      <c r="D76" s="12" t="s">
        <v>120</v>
      </c>
      <c r="E76" s="109">
        <f>8600+570</f>
        <v>9170</v>
      </c>
      <c r="F76" s="113"/>
      <c r="G76" s="47">
        <v>9144</v>
      </c>
      <c r="H76" s="113"/>
    </row>
    <row r="77" spans="1:8" ht="12.75">
      <c r="A77" s="13"/>
      <c r="B77" s="29"/>
      <c r="C77" s="27">
        <f t="shared" si="3"/>
        <v>4</v>
      </c>
      <c r="D77" s="12" t="s">
        <v>82</v>
      </c>
      <c r="E77" s="109">
        <f>747+623</f>
        <v>1370</v>
      </c>
      <c r="F77" s="113"/>
      <c r="G77" s="47">
        <f>774+66</f>
        <v>840</v>
      </c>
      <c r="H77" s="113"/>
    </row>
    <row r="78" spans="1:8" ht="12.75">
      <c r="A78" s="13"/>
      <c r="B78" s="29"/>
      <c r="C78" s="27">
        <f t="shared" si="3"/>
        <v>5</v>
      </c>
      <c r="D78" s="12" t="s">
        <v>83</v>
      </c>
      <c r="E78" s="109">
        <v>830</v>
      </c>
      <c r="F78" s="113"/>
      <c r="G78" s="47">
        <v>0</v>
      </c>
      <c r="H78" s="113"/>
    </row>
    <row r="79" spans="1:8" ht="12.75">
      <c r="A79" s="13"/>
      <c r="B79" s="29"/>
      <c r="C79" s="27">
        <f t="shared" si="3"/>
        <v>6</v>
      </c>
      <c r="D79" s="12" t="s">
        <v>127</v>
      </c>
      <c r="E79" s="109">
        <v>10</v>
      </c>
      <c r="F79" s="113"/>
      <c r="G79" s="109">
        <v>10</v>
      </c>
      <c r="H79" s="113"/>
    </row>
    <row r="80" spans="1:8" ht="12.75">
      <c r="A80" s="13"/>
      <c r="B80" s="29"/>
      <c r="C80" s="27">
        <f t="shared" si="3"/>
        <v>7</v>
      </c>
      <c r="D80" s="12" t="s">
        <v>81</v>
      </c>
      <c r="E80" s="109">
        <f>80+2070</f>
        <v>2150</v>
      </c>
      <c r="F80" s="113"/>
      <c r="G80" s="109">
        <f>80+2070</f>
        <v>2150</v>
      </c>
      <c r="H80" s="113"/>
    </row>
    <row r="81" spans="1:8" ht="12.75">
      <c r="A81" s="13"/>
      <c r="B81" s="29"/>
      <c r="C81" s="27">
        <f t="shared" si="3"/>
        <v>8</v>
      </c>
      <c r="D81" s="12" t="s">
        <v>122</v>
      </c>
      <c r="E81" s="109">
        <f>2280+120+70</f>
        <v>2470</v>
      </c>
      <c r="F81" s="113"/>
      <c r="G81" s="109">
        <f>2280+120+70</f>
        <v>2470</v>
      </c>
      <c r="H81" s="113"/>
    </row>
    <row r="82" spans="1:8" ht="12.75">
      <c r="A82" s="13"/>
      <c r="B82" s="29"/>
      <c r="C82" s="27">
        <f t="shared" si="3"/>
        <v>9</v>
      </c>
      <c r="D82" s="12" t="s">
        <v>123</v>
      </c>
      <c r="E82" s="109">
        <v>88</v>
      </c>
      <c r="F82" s="113"/>
      <c r="G82" s="47">
        <v>50</v>
      </c>
      <c r="H82" s="113"/>
    </row>
    <row r="83" spans="1:8" ht="12.75">
      <c r="A83" s="13"/>
      <c r="B83" s="29"/>
      <c r="C83" s="27">
        <f t="shared" si="3"/>
        <v>10</v>
      </c>
      <c r="D83" s="12" t="s">
        <v>125</v>
      </c>
      <c r="E83" s="109">
        <v>260</v>
      </c>
      <c r="F83" s="113"/>
      <c r="G83" s="109">
        <v>260</v>
      </c>
      <c r="H83" s="113"/>
    </row>
    <row r="84" spans="1:8" ht="12.75">
      <c r="A84" s="13"/>
      <c r="B84" s="29"/>
      <c r="C84" s="27">
        <f t="shared" si="3"/>
        <v>11</v>
      </c>
      <c r="D84" s="12" t="s">
        <v>124</v>
      </c>
      <c r="E84" s="109">
        <v>251</v>
      </c>
      <c r="F84" s="113"/>
      <c r="G84" s="109">
        <v>251</v>
      </c>
      <c r="H84" s="113"/>
    </row>
    <row r="85" spans="1:8" ht="12.75">
      <c r="A85" s="13"/>
      <c r="B85" s="29"/>
      <c r="C85" s="27">
        <f t="shared" si="3"/>
        <v>12</v>
      </c>
      <c r="D85" s="12" t="s">
        <v>126</v>
      </c>
      <c r="E85" s="109">
        <v>186</v>
      </c>
      <c r="F85" s="113"/>
      <c r="G85" s="109">
        <v>186</v>
      </c>
      <c r="H85" s="113"/>
    </row>
    <row r="86" spans="1:8" ht="12.75">
      <c r="A86" s="13"/>
      <c r="B86" s="29"/>
      <c r="C86" s="27">
        <f t="shared" si="3"/>
        <v>13</v>
      </c>
      <c r="D86" s="12" t="s">
        <v>132</v>
      </c>
      <c r="E86" s="109">
        <v>298</v>
      </c>
      <c r="F86" s="113"/>
      <c r="G86" s="109">
        <v>298</v>
      </c>
      <c r="H86" s="113"/>
    </row>
    <row r="87" spans="1:8" ht="12.75">
      <c r="A87" s="13"/>
      <c r="B87" s="29"/>
      <c r="C87" s="27">
        <f t="shared" si="3"/>
        <v>14</v>
      </c>
      <c r="D87" s="12" t="s">
        <v>187</v>
      </c>
      <c r="E87" s="110"/>
      <c r="F87" s="113"/>
      <c r="G87" s="268">
        <v>250</v>
      </c>
      <c r="H87" s="113"/>
    </row>
    <row r="88" spans="1:8" ht="12.75">
      <c r="A88" s="13"/>
      <c r="B88" s="29"/>
      <c r="C88" s="27">
        <f t="shared" si="3"/>
        <v>15</v>
      </c>
      <c r="D88" s="12" t="s">
        <v>136</v>
      </c>
      <c r="E88" s="110">
        <v>50</v>
      </c>
      <c r="F88" s="113"/>
      <c r="G88" s="110">
        <v>50</v>
      </c>
      <c r="H88" s="113"/>
    </row>
    <row r="89" spans="1:8" ht="13.5" thickBot="1">
      <c r="A89" s="17"/>
      <c r="B89" s="30"/>
      <c r="C89" s="48"/>
      <c r="D89" s="49" t="s">
        <v>19</v>
      </c>
      <c r="E89" s="103"/>
      <c r="F89" s="114">
        <f>SUM(E74:E88)</f>
        <v>29539</v>
      </c>
      <c r="G89" s="103"/>
      <c r="H89" s="253">
        <f>SUM(G74:G88)</f>
        <v>27291</v>
      </c>
    </row>
    <row r="90" spans="1:8" ht="12.75">
      <c r="A90" s="7" t="s">
        <v>44</v>
      </c>
      <c r="B90" s="26" t="s">
        <v>84</v>
      </c>
      <c r="C90" s="26">
        <v>1</v>
      </c>
      <c r="D90" s="50" t="s">
        <v>85</v>
      </c>
      <c r="E90" s="115">
        <f>310+22+59+14+30</f>
        <v>435</v>
      </c>
      <c r="F90" s="116"/>
      <c r="G90" s="115">
        <f>310+22+59+14+30</f>
        <v>435</v>
      </c>
      <c r="H90" s="116"/>
    </row>
    <row r="91" spans="1:8" ht="12.75">
      <c r="A91" s="10"/>
      <c r="B91" s="28"/>
      <c r="C91" s="28">
        <f aca="true" t="shared" si="4" ref="C91:C98">+C90+1</f>
        <v>2</v>
      </c>
      <c r="D91" s="12" t="s">
        <v>86</v>
      </c>
      <c r="E91" s="109">
        <v>420</v>
      </c>
      <c r="F91" s="101"/>
      <c r="G91" s="47">
        <v>500</v>
      </c>
      <c r="H91" s="101"/>
    </row>
    <row r="92" spans="1:8" ht="12.75">
      <c r="A92" s="10"/>
      <c r="B92" s="28"/>
      <c r="C92" s="28">
        <f t="shared" si="4"/>
        <v>3</v>
      </c>
      <c r="D92" s="12" t="s">
        <v>87</v>
      </c>
      <c r="E92" s="109">
        <v>180</v>
      </c>
      <c r="F92" s="101"/>
      <c r="G92" s="47">
        <v>210</v>
      </c>
      <c r="H92" s="101"/>
    </row>
    <row r="93" spans="1:8" ht="12.75">
      <c r="A93" s="10"/>
      <c r="B93" s="28"/>
      <c r="C93" s="28">
        <f t="shared" si="4"/>
        <v>4</v>
      </c>
      <c r="D93" s="12" t="s">
        <v>88</v>
      </c>
      <c r="E93" s="109">
        <v>427</v>
      </c>
      <c r="F93" s="101"/>
      <c r="G93" s="47">
        <v>450</v>
      </c>
      <c r="H93" s="101"/>
    </row>
    <row r="94" spans="1:8" ht="12.75">
      <c r="A94" s="10"/>
      <c r="B94" s="28"/>
      <c r="C94" s="28">
        <f t="shared" si="4"/>
        <v>5</v>
      </c>
      <c r="D94" s="12" t="s">
        <v>89</v>
      </c>
      <c r="E94" s="109">
        <v>5100</v>
      </c>
      <c r="F94" s="101"/>
      <c r="G94" s="109">
        <v>5100</v>
      </c>
      <c r="H94" s="101"/>
    </row>
    <row r="95" spans="1:8" ht="12.75">
      <c r="A95" s="10"/>
      <c r="B95" s="28"/>
      <c r="C95" s="28">
        <f t="shared" si="4"/>
        <v>6</v>
      </c>
      <c r="D95" s="12" t="s">
        <v>90</v>
      </c>
      <c r="E95" s="109">
        <f>1400+512</f>
        <v>1912</v>
      </c>
      <c r="F95" s="101"/>
      <c r="G95" s="47">
        <f>1464+525+107</f>
        <v>2096</v>
      </c>
      <c r="H95" s="101"/>
    </row>
    <row r="96" spans="1:8" ht="12.75">
      <c r="A96" s="10"/>
      <c r="B96" s="28"/>
      <c r="C96" s="28">
        <f t="shared" si="4"/>
        <v>7</v>
      </c>
      <c r="D96" s="12" t="s">
        <v>91</v>
      </c>
      <c r="E96" s="109">
        <v>1480</v>
      </c>
      <c r="F96" s="101"/>
      <c r="G96" s="109">
        <v>1480</v>
      </c>
      <c r="H96" s="101"/>
    </row>
    <row r="97" spans="1:8" ht="12.75">
      <c r="A97" s="10"/>
      <c r="B97" s="28"/>
      <c r="C97" s="28">
        <f t="shared" si="4"/>
        <v>8</v>
      </c>
      <c r="D97" s="12" t="s">
        <v>92</v>
      </c>
      <c r="E97" s="100">
        <v>570</v>
      </c>
      <c r="F97" s="101"/>
      <c r="G97" s="100">
        <v>570</v>
      </c>
      <c r="H97" s="101"/>
    </row>
    <row r="98" spans="1:8" ht="12.75">
      <c r="A98" s="13"/>
      <c r="B98" s="29"/>
      <c r="C98" s="28">
        <f t="shared" si="4"/>
        <v>9</v>
      </c>
      <c r="D98" s="15" t="s">
        <v>93</v>
      </c>
      <c r="E98" s="117">
        <v>225</v>
      </c>
      <c r="F98" s="113"/>
      <c r="G98" s="117">
        <v>225</v>
      </c>
      <c r="H98" s="113"/>
    </row>
    <row r="99" spans="1:8" ht="13.5" thickBot="1">
      <c r="A99" s="17"/>
      <c r="B99" s="30"/>
      <c r="C99" s="30"/>
      <c r="D99" s="19" t="s">
        <v>19</v>
      </c>
      <c r="E99" s="103"/>
      <c r="F99" s="108">
        <f>SUM(E90:E98)</f>
        <v>10749</v>
      </c>
      <c r="G99" s="103"/>
      <c r="H99" s="46">
        <f>SUM(G90:G98)</f>
        <v>11066</v>
      </c>
    </row>
    <row r="100" spans="1:8" ht="12.75">
      <c r="A100" s="20" t="s">
        <v>48</v>
      </c>
      <c r="B100" s="27" t="s">
        <v>94</v>
      </c>
      <c r="C100" s="27">
        <v>1</v>
      </c>
      <c r="D100" s="22" t="s">
        <v>95</v>
      </c>
      <c r="E100" s="115">
        <v>25</v>
      </c>
      <c r="F100" s="116"/>
      <c r="G100" s="115">
        <v>25</v>
      </c>
      <c r="H100" s="116"/>
    </row>
    <row r="101" spans="1:8" ht="12.75">
      <c r="A101" s="20"/>
      <c r="B101" s="27"/>
      <c r="C101" s="28">
        <f aca="true" t="shared" si="5" ref="C101:C108">+C100+1</f>
        <v>2</v>
      </c>
      <c r="D101" s="22" t="s">
        <v>96</v>
      </c>
      <c r="E101" s="115">
        <v>660</v>
      </c>
      <c r="F101" s="116"/>
      <c r="G101" s="251">
        <v>620</v>
      </c>
      <c r="H101" s="116"/>
    </row>
    <row r="102" spans="1:8" ht="12.75">
      <c r="A102" s="20"/>
      <c r="B102" s="27"/>
      <c r="C102" s="28">
        <f t="shared" si="5"/>
        <v>3</v>
      </c>
      <c r="D102" s="22" t="s">
        <v>97</v>
      </c>
      <c r="E102" s="115">
        <v>85</v>
      </c>
      <c r="F102" s="116"/>
      <c r="G102" s="115">
        <v>85</v>
      </c>
      <c r="H102" s="116"/>
    </row>
    <row r="103" spans="1:8" ht="12.75">
      <c r="A103" s="10"/>
      <c r="B103" s="28"/>
      <c r="C103" s="28">
        <f t="shared" si="5"/>
        <v>4</v>
      </c>
      <c r="D103" s="12" t="s">
        <v>98</v>
      </c>
      <c r="E103" s="100">
        <v>950</v>
      </c>
      <c r="F103" s="101"/>
      <c r="G103" s="278">
        <v>930</v>
      </c>
      <c r="H103" s="101"/>
    </row>
    <row r="104" spans="1:8" ht="12.75">
      <c r="A104" s="13"/>
      <c r="B104" s="29"/>
      <c r="C104" s="28">
        <f t="shared" si="5"/>
        <v>5</v>
      </c>
      <c r="D104" s="12" t="s">
        <v>99</v>
      </c>
      <c r="E104" s="110">
        <f>1363+350</f>
        <v>1713</v>
      </c>
      <c r="F104" s="113"/>
      <c r="G104" s="268">
        <f>1363+205</f>
        <v>1568</v>
      </c>
      <c r="H104" s="113"/>
    </row>
    <row r="105" spans="1:8" ht="12.75">
      <c r="A105" s="13"/>
      <c r="B105" s="29"/>
      <c r="C105" s="28">
        <f t="shared" si="5"/>
        <v>6</v>
      </c>
      <c r="D105" s="12" t="s">
        <v>100</v>
      </c>
      <c r="E105" s="117">
        <v>123</v>
      </c>
      <c r="F105" s="113"/>
      <c r="G105" s="117">
        <v>123</v>
      </c>
      <c r="H105" s="113"/>
    </row>
    <row r="106" spans="1:8" ht="12.75">
      <c r="A106" s="13"/>
      <c r="B106" s="29"/>
      <c r="C106" s="28">
        <f t="shared" si="5"/>
        <v>7</v>
      </c>
      <c r="D106" s="12" t="s">
        <v>129</v>
      </c>
      <c r="E106" s="117">
        <v>965</v>
      </c>
      <c r="F106" s="113"/>
      <c r="G106" s="117">
        <v>965</v>
      </c>
      <c r="H106" s="113"/>
    </row>
    <row r="107" spans="1:8" ht="12.75">
      <c r="A107" s="13"/>
      <c r="B107" s="29"/>
      <c r="C107" s="28">
        <f t="shared" si="5"/>
        <v>8</v>
      </c>
      <c r="D107" s="12" t="s">
        <v>101</v>
      </c>
      <c r="E107" s="117">
        <v>89</v>
      </c>
      <c r="F107" s="113"/>
      <c r="G107" s="117">
        <v>89</v>
      </c>
      <c r="H107" s="113"/>
    </row>
    <row r="108" spans="1:8" ht="12.75">
      <c r="A108" s="13"/>
      <c r="B108" s="29"/>
      <c r="C108" s="28">
        <f t="shared" si="5"/>
        <v>9</v>
      </c>
      <c r="D108" s="12" t="s">
        <v>102</v>
      </c>
      <c r="E108" s="110">
        <f>730+71-80+71-2+70+61+70</f>
        <v>991</v>
      </c>
      <c r="F108" s="113"/>
      <c r="G108" s="268">
        <f>730+71-80+71-2+70+61+70-20+100+1</f>
        <v>1072</v>
      </c>
      <c r="H108" s="113"/>
    </row>
    <row r="109" spans="1:8" ht="13.5" thickBot="1">
      <c r="A109" s="13"/>
      <c r="B109" s="29"/>
      <c r="C109" s="29"/>
      <c r="D109" s="15" t="s">
        <v>19</v>
      </c>
      <c r="E109" s="103"/>
      <c r="F109" s="111">
        <f>SUM(E100:E108)</f>
        <v>5601</v>
      </c>
      <c r="G109" s="103"/>
      <c r="H109" s="263">
        <f>SUM(G100:G108)</f>
        <v>5477</v>
      </c>
    </row>
    <row r="110" spans="1:8" ht="12.75">
      <c r="A110" s="7" t="s">
        <v>50</v>
      </c>
      <c r="B110" s="26" t="s">
        <v>103</v>
      </c>
      <c r="C110" s="26">
        <v>1</v>
      </c>
      <c r="D110" s="9" t="s">
        <v>10</v>
      </c>
      <c r="E110" s="118">
        <f>5500+22660-2510</f>
        <v>25650</v>
      </c>
      <c r="F110" s="99"/>
      <c r="G110" s="271">
        <f>5500+21100</f>
        <v>26600</v>
      </c>
      <c r="H110" s="272"/>
    </row>
    <row r="111" spans="1:8" ht="12.75">
      <c r="A111" s="10"/>
      <c r="B111" s="28"/>
      <c r="C111" s="28">
        <v>2</v>
      </c>
      <c r="D111" s="12" t="s">
        <v>104</v>
      </c>
      <c r="E111" s="109">
        <v>840</v>
      </c>
      <c r="F111" s="101"/>
      <c r="G111" s="47">
        <v>800</v>
      </c>
      <c r="H111" s="273"/>
    </row>
    <row r="112" spans="1:8" ht="13.5" thickBot="1">
      <c r="A112" s="17"/>
      <c r="B112" s="30"/>
      <c r="C112" s="30"/>
      <c r="D112" s="19" t="s">
        <v>5</v>
      </c>
      <c r="E112" s="103"/>
      <c r="F112" s="108">
        <f>SUM(E110:E111)</f>
        <v>26490</v>
      </c>
      <c r="G112" s="274"/>
      <c r="H112" s="46">
        <f>SUM(G110:G111)</f>
        <v>27400</v>
      </c>
    </row>
    <row r="113" spans="1:8" ht="13.5" thickBot="1">
      <c r="A113" s="51" t="s">
        <v>52</v>
      </c>
      <c r="B113" s="52" t="s">
        <v>49</v>
      </c>
      <c r="C113" s="52"/>
      <c r="D113" s="49"/>
      <c r="E113" s="119">
        <v>1605</v>
      </c>
      <c r="F113" s="120">
        <f>SUM(E113)</f>
        <v>1605</v>
      </c>
      <c r="G113" s="266">
        <f>1605+99</f>
        <v>1704</v>
      </c>
      <c r="H113" s="267">
        <f>SUM(G113)</f>
        <v>1704</v>
      </c>
    </row>
    <row r="114" spans="1:8" ht="13.5" thickBot="1">
      <c r="A114" s="53" t="s">
        <v>59</v>
      </c>
      <c r="B114" s="32" t="s">
        <v>60</v>
      </c>
      <c r="C114" s="35"/>
      <c r="D114" s="36"/>
      <c r="E114" s="121">
        <v>617</v>
      </c>
      <c r="F114" s="122">
        <f>SUM(E114)</f>
        <v>617</v>
      </c>
      <c r="G114" s="121">
        <v>617</v>
      </c>
      <c r="H114" s="122">
        <f>SUM(G114)</f>
        <v>617</v>
      </c>
    </row>
    <row r="115" spans="1:8" ht="12.75">
      <c r="A115" s="38"/>
      <c r="B115" s="26" t="s">
        <v>105</v>
      </c>
      <c r="C115" s="26"/>
      <c r="D115" s="9"/>
      <c r="E115" s="112"/>
      <c r="F115" s="123">
        <f>SUM(F65:F114)</f>
        <v>110083</v>
      </c>
      <c r="G115" s="112"/>
      <c r="H115" s="55">
        <f>SUM(H65:H114)</f>
        <v>109294</v>
      </c>
    </row>
    <row r="116" spans="1:8" ht="13.5" thickBot="1">
      <c r="A116" s="40"/>
      <c r="B116" s="30" t="s">
        <v>106</v>
      </c>
      <c r="C116" s="30"/>
      <c r="D116" s="19"/>
      <c r="E116" s="103"/>
      <c r="F116" s="124">
        <f>+F115-634</f>
        <v>109449</v>
      </c>
      <c r="G116" s="103"/>
      <c r="H116" s="56">
        <f>+H115-639</f>
        <v>108655</v>
      </c>
    </row>
    <row r="117" spans="1:8" ht="13.5" thickBot="1">
      <c r="A117" s="57"/>
      <c r="B117" s="57"/>
      <c r="C117" s="57"/>
      <c r="D117" s="57"/>
      <c r="E117" s="125"/>
      <c r="F117" s="126"/>
      <c r="G117" s="125"/>
      <c r="H117" s="257"/>
    </row>
    <row r="118" spans="1:8" ht="13.5" thickBot="1">
      <c r="A118" s="58"/>
      <c r="B118" s="59" t="s">
        <v>107</v>
      </c>
      <c r="C118" s="60"/>
      <c r="D118" s="61"/>
      <c r="E118" s="127"/>
      <c r="F118" s="122">
        <f>+F54-F116</f>
        <v>4135.729999999996</v>
      </c>
      <c r="G118" s="127"/>
      <c r="H118" s="54">
        <f>+H54-H116</f>
        <v>6229.729999999996</v>
      </c>
    </row>
    <row r="119" spans="1:8" ht="12.75">
      <c r="A119" s="57"/>
      <c r="B119" s="62" t="s">
        <v>108</v>
      </c>
      <c r="C119" s="38" t="s">
        <v>130</v>
      </c>
      <c r="D119" s="63"/>
      <c r="E119" s="115">
        <f>5962+5253-500+3000+4762</f>
        <v>18477</v>
      </c>
      <c r="F119" s="128"/>
      <c r="G119" s="251">
        <f>5962+5253-1500+3000+4762</f>
        <v>17477</v>
      </c>
      <c r="H119" s="64"/>
    </row>
    <row r="120" spans="2:8" ht="12.75">
      <c r="B120" s="62"/>
      <c r="C120" s="65" t="s">
        <v>109</v>
      </c>
      <c r="D120" s="66"/>
      <c r="E120" s="71">
        <f>-205-608-1400-3000-12200-4762</f>
        <v>-22175</v>
      </c>
      <c r="F120" s="129"/>
      <c r="G120" s="258">
        <f>-205-608-1400-3000-12200-4762</f>
        <v>-22175</v>
      </c>
      <c r="H120" s="70"/>
    </row>
    <row r="121" spans="2:9" ht="13.5" thickBot="1">
      <c r="B121" s="67" t="s">
        <v>110</v>
      </c>
      <c r="C121" s="40" t="s">
        <v>111</v>
      </c>
      <c r="D121" s="68"/>
      <c r="E121" s="107">
        <v>-438</v>
      </c>
      <c r="F121" s="108">
        <f>SUM(E119:E121)</f>
        <v>-4136</v>
      </c>
      <c r="G121" s="264">
        <v>-1532</v>
      </c>
      <c r="H121" s="46">
        <f>SUM(G119:G121)</f>
        <v>-6230</v>
      </c>
      <c r="I121" s="250">
        <f>SUM(H118:H121)</f>
        <v>-0.27000000000407454</v>
      </c>
    </row>
    <row r="122" spans="2:8" ht="12.75">
      <c r="B122" s="69" t="s">
        <v>128</v>
      </c>
      <c r="C122" s="27"/>
      <c r="D122" s="27"/>
      <c r="E122" s="130">
        <v>3789</v>
      </c>
      <c r="F122" s="128" t="s">
        <v>112</v>
      </c>
      <c r="G122" s="130">
        <v>3789</v>
      </c>
      <c r="H122" s="128" t="s">
        <v>112</v>
      </c>
    </row>
    <row r="123" spans="2:8" ht="12.75">
      <c r="B123" s="65" t="s">
        <v>113</v>
      </c>
      <c r="C123" s="28"/>
      <c r="D123" s="28"/>
      <c r="E123" s="131">
        <f>+E121-E126</f>
        <v>-421</v>
      </c>
      <c r="F123" s="106" t="s">
        <v>112</v>
      </c>
      <c r="G123" s="255">
        <f>+G121-G126</f>
        <v>-1510</v>
      </c>
      <c r="H123" s="106" t="s">
        <v>112</v>
      </c>
    </row>
    <row r="124" spans="2:8" ht="13.5" thickBot="1">
      <c r="B124" s="40" t="s">
        <v>114</v>
      </c>
      <c r="C124" s="30"/>
      <c r="D124" s="30"/>
      <c r="E124" s="132">
        <f>+E122-E123</f>
        <v>4210</v>
      </c>
      <c r="F124" s="108" t="s">
        <v>112</v>
      </c>
      <c r="G124" s="254">
        <f>+G122-G123</f>
        <v>5299</v>
      </c>
      <c r="H124" s="108" t="s">
        <v>112</v>
      </c>
    </row>
    <row r="125" spans="2:8" ht="12.75">
      <c r="B125" s="38" t="s">
        <v>115</v>
      </c>
      <c r="C125" s="26"/>
      <c r="D125" s="26"/>
      <c r="E125" s="133">
        <v>130</v>
      </c>
      <c r="F125" s="99" t="s">
        <v>112</v>
      </c>
      <c r="G125" s="133">
        <v>130</v>
      </c>
      <c r="H125" s="99" t="s">
        <v>112</v>
      </c>
    </row>
    <row r="126" spans="2:8" ht="12.75">
      <c r="B126" s="65" t="s">
        <v>116</v>
      </c>
      <c r="C126" s="28"/>
      <c r="D126" s="28"/>
      <c r="E126" s="131">
        <f>E114-E52</f>
        <v>-17</v>
      </c>
      <c r="F126" s="101" t="s">
        <v>112</v>
      </c>
      <c r="G126" s="255">
        <f>G114-G52</f>
        <v>-22</v>
      </c>
      <c r="H126" s="101" t="s">
        <v>112</v>
      </c>
    </row>
    <row r="127" spans="2:8" ht="13.5" thickBot="1">
      <c r="B127" s="40" t="s">
        <v>117</v>
      </c>
      <c r="C127" s="30"/>
      <c r="D127" s="30"/>
      <c r="E127" s="132">
        <f>+E125-E126</f>
        <v>147</v>
      </c>
      <c r="F127" s="114" t="s">
        <v>112</v>
      </c>
      <c r="G127" s="254">
        <f>+G125-G126</f>
        <v>152</v>
      </c>
      <c r="H127" s="114" t="s">
        <v>112</v>
      </c>
    </row>
    <row r="129" ht="12.75">
      <c r="B129" s="57"/>
    </row>
  </sheetData>
  <mergeCells count="4">
    <mergeCell ref="G1:H1"/>
    <mergeCell ref="G55:H55"/>
    <mergeCell ref="E1:F1"/>
    <mergeCell ref="E55:F55"/>
  </mergeCells>
  <printOptions/>
  <pageMargins left="0.71" right="0.7874015748031497" top="0.68" bottom="0.36" header="0.27" footer="0.27"/>
  <pageSetup horizontalDpi="600" verticalDpi="600" orientation="portrait" paperSize="9" scale="90" r:id="rId1"/>
  <headerFooter alignWithMargins="0">
    <oddHeader>&amp;C&amp;"Arial Black,Obyčejné"&amp;12IV.úprava rozpočtu města Blovice schválená ZM 22.11.2010&amp;Rč.j. MUBlov 14895/10</oddHeader>
    <oddFooter>&amp;Lvyvěšeno: 
svěšeno:
&amp;Rsestavil: Ing.Hodek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workbookViewId="0" topLeftCell="A1">
      <selection activeCell="E69" sqref="E69"/>
    </sheetView>
  </sheetViews>
  <sheetFormatPr defaultColWidth="9.140625" defaultRowHeight="12.75"/>
  <cols>
    <col min="1" max="1" width="4.7109375" style="140" customWidth="1"/>
    <col min="2" max="2" width="26.57421875" style="140" customWidth="1"/>
    <col min="3" max="4" width="9.00390625" style="140" bestFit="1" customWidth="1"/>
    <col min="5" max="7" width="9.57421875" style="140" bestFit="1" customWidth="1"/>
    <col min="8" max="16384" width="8.8515625" style="140" customWidth="1"/>
  </cols>
  <sheetData>
    <row r="2" ht="18" thickBot="1">
      <c r="A2" s="139" t="s">
        <v>138</v>
      </c>
    </row>
    <row r="3" spans="1:8" ht="13.5" thickBot="1">
      <c r="A3" s="141" t="s">
        <v>1</v>
      </c>
      <c r="B3" s="142" t="s">
        <v>2</v>
      </c>
      <c r="C3" s="143" t="s">
        <v>181</v>
      </c>
      <c r="D3" s="143">
        <v>2010</v>
      </c>
      <c r="E3" s="144">
        <v>2011</v>
      </c>
      <c r="F3" s="144">
        <v>2012</v>
      </c>
      <c r="G3" s="144">
        <v>2013</v>
      </c>
      <c r="H3" s="144">
        <v>2014</v>
      </c>
    </row>
    <row r="4" spans="1:8" ht="12.75">
      <c r="A4" s="145" t="s">
        <v>6</v>
      </c>
      <c r="B4" s="146" t="s">
        <v>139</v>
      </c>
      <c r="C4" s="147">
        <v>77858</v>
      </c>
      <c r="D4" s="148">
        <v>65334</v>
      </c>
      <c r="E4" s="149">
        <v>45100</v>
      </c>
      <c r="F4" s="150">
        <f aca="true" t="shared" si="0" ref="E4:H12">+E4*1.05</f>
        <v>47355</v>
      </c>
      <c r="G4" s="150">
        <f t="shared" si="0"/>
        <v>49722.75</v>
      </c>
      <c r="H4" s="150">
        <f t="shared" si="0"/>
        <v>52208.887500000004</v>
      </c>
    </row>
    <row r="5" spans="1:8" ht="12.75">
      <c r="A5" s="151" t="s">
        <v>14</v>
      </c>
      <c r="B5" s="152" t="s">
        <v>140</v>
      </c>
      <c r="C5" s="153">
        <v>29377</v>
      </c>
      <c r="D5" s="154">
        <v>33163</v>
      </c>
      <c r="E5" s="150">
        <f t="shared" si="0"/>
        <v>34821.15</v>
      </c>
      <c r="F5" s="150">
        <f t="shared" si="0"/>
        <v>36562.207500000004</v>
      </c>
      <c r="G5" s="150">
        <f t="shared" si="0"/>
        <v>38390.31787500001</v>
      </c>
      <c r="H5" s="150">
        <f t="shared" si="0"/>
        <v>40309.83376875001</v>
      </c>
    </row>
    <row r="6" spans="1:8" ht="12.75">
      <c r="A6" s="151" t="s">
        <v>20</v>
      </c>
      <c r="B6" s="152" t="s">
        <v>141</v>
      </c>
      <c r="C6" s="153">
        <v>6190</v>
      </c>
      <c r="D6" s="154">
        <v>6220</v>
      </c>
      <c r="E6" s="150">
        <f>+D6*1.05</f>
        <v>6531</v>
      </c>
      <c r="F6" s="150">
        <f t="shared" si="0"/>
        <v>6857.55</v>
      </c>
      <c r="G6" s="150">
        <f t="shared" si="0"/>
        <v>7200.427500000001</v>
      </c>
      <c r="H6" s="150">
        <f t="shared" si="0"/>
        <v>7560.448875000001</v>
      </c>
    </row>
    <row r="7" spans="1:8" ht="12.75">
      <c r="A7" s="151" t="s">
        <v>36</v>
      </c>
      <c r="B7" s="152" t="s">
        <v>142</v>
      </c>
      <c r="C7" s="153">
        <v>3752</v>
      </c>
      <c r="D7" s="149">
        <v>4366</v>
      </c>
      <c r="E7" s="149">
        <v>500</v>
      </c>
      <c r="F7" s="150">
        <f t="shared" si="0"/>
        <v>525</v>
      </c>
      <c r="G7" s="150">
        <f t="shared" si="0"/>
        <v>551.25</v>
      </c>
      <c r="H7" s="150">
        <f t="shared" si="0"/>
        <v>578.8125</v>
      </c>
    </row>
    <row r="8" spans="1:8" ht="12.75">
      <c r="A8" s="151" t="s">
        <v>44</v>
      </c>
      <c r="B8" s="152" t="s">
        <v>143</v>
      </c>
      <c r="C8" s="153">
        <v>1487</v>
      </c>
      <c r="D8" s="149">
        <v>907</v>
      </c>
      <c r="E8" s="150">
        <f t="shared" si="0"/>
        <v>952.35</v>
      </c>
      <c r="F8" s="150">
        <f t="shared" si="0"/>
        <v>999.9675000000001</v>
      </c>
      <c r="G8" s="150">
        <f t="shared" si="0"/>
        <v>1049.965875</v>
      </c>
      <c r="H8" s="150">
        <f t="shared" si="0"/>
        <v>1102.4641687500002</v>
      </c>
    </row>
    <row r="9" spans="1:8" ht="12.75">
      <c r="A9" s="151" t="s">
        <v>48</v>
      </c>
      <c r="B9" s="152" t="s">
        <v>144</v>
      </c>
      <c r="C9" s="153">
        <v>2921</v>
      </c>
      <c r="D9" s="154">
        <v>1140</v>
      </c>
      <c r="E9" s="150">
        <f t="shared" si="0"/>
        <v>1197</v>
      </c>
      <c r="F9" s="150">
        <f t="shared" si="0"/>
        <v>1256.8500000000001</v>
      </c>
      <c r="G9" s="150">
        <f t="shared" si="0"/>
        <v>1319.6925</v>
      </c>
      <c r="H9" s="150">
        <f t="shared" si="0"/>
        <v>1385.6771250000002</v>
      </c>
    </row>
    <row r="10" spans="1:8" ht="12.75">
      <c r="A10" s="151" t="s">
        <v>50</v>
      </c>
      <c r="B10" s="152" t="s">
        <v>145</v>
      </c>
      <c r="C10" s="153">
        <v>0</v>
      </c>
      <c r="D10" s="154">
        <v>750</v>
      </c>
      <c r="E10" s="150">
        <f t="shared" si="0"/>
        <v>787.5</v>
      </c>
      <c r="F10" s="150">
        <f t="shared" si="0"/>
        <v>826.875</v>
      </c>
      <c r="G10" s="150">
        <f t="shared" si="0"/>
        <v>868.21875</v>
      </c>
      <c r="H10" s="150">
        <f t="shared" si="0"/>
        <v>911.6296875</v>
      </c>
    </row>
    <row r="11" spans="1:8" ht="12.75">
      <c r="A11" s="151" t="s">
        <v>52</v>
      </c>
      <c r="B11" s="152" t="s">
        <v>146</v>
      </c>
      <c r="C11" s="153">
        <v>2832</v>
      </c>
      <c r="D11" s="154">
        <v>3005</v>
      </c>
      <c r="E11" s="150">
        <f t="shared" si="0"/>
        <v>3155.25</v>
      </c>
      <c r="F11" s="150">
        <f t="shared" si="0"/>
        <v>3313.0125000000003</v>
      </c>
      <c r="G11" s="150">
        <f t="shared" si="0"/>
        <v>3478.6631250000005</v>
      </c>
      <c r="H11" s="150">
        <f t="shared" si="0"/>
        <v>3652.5962812500006</v>
      </c>
    </row>
    <row r="12" spans="1:8" ht="13.5" thickBot="1">
      <c r="A12" s="155" t="s">
        <v>59</v>
      </c>
      <c r="B12" s="156" t="s">
        <v>147</v>
      </c>
      <c r="C12" s="157">
        <v>139530</v>
      </c>
      <c r="D12" s="158">
        <v>639</v>
      </c>
      <c r="E12" s="159">
        <f t="shared" si="0"/>
        <v>670.95</v>
      </c>
      <c r="F12" s="159">
        <f t="shared" si="0"/>
        <v>704.4975000000001</v>
      </c>
      <c r="G12" s="159">
        <f t="shared" si="0"/>
        <v>739.722375</v>
      </c>
      <c r="H12" s="159">
        <f t="shared" si="0"/>
        <v>776.7084937500001</v>
      </c>
    </row>
    <row r="13" spans="1:8" ht="13.5" thickBot="1">
      <c r="A13" s="160"/>
      <c r="B13" s="160" t="s">
        <v>110</v>
      </c>
      <c r="C13" s="161">
        <f aca="true" t="shared" si="1" ref="C13:H13">SUM(C4:C12)</f>
        <v>263947</v>
      </c>
      <c r="D13" s="161">
        <f t="shared" si="1"/>
        <v>115524</v>
      </c>
      <c r="E13" s="162">
        <f t="shared" si="1"/>
        <v>93715.2</v>
      </c>
      <c r="F13" s="162">
        <f t="shared" si="1"/>
        <v>98400.96</v>
      </c>
      <c r="G13" s="162">
        <f t="shared" si="1"/>
        <v>103321.00800000002</v>
      </c>
      <c r="H13" s="162">
        <f t="shared" si="1"/>
        <v>108487.05840000002</v>
      </c>
    </row>
    <row r="14" spans="1:8" ht="13.5" thickBot="1">
      <c r="A14" s="163"/>
      <c r="B14" s="164" t="s">
        <v>148</v>
      </c>
      <c r="C14" s="165">
        <v>124417</v>
      </c>
      <c r="D14" s="165">
        <f>+D13-639</f>
        <v>114885</v>
      </c>
      <c r="E14" s="166">
        <f>+E13</f>
        <v>93715.2</v>
      </c>
      <c r="F14" s="166">
        <f>+F13</f>
        <v>98400.96</v>
      </c>
      <c r="G14" s="166">
        <f>+G13</f>
        <v>103321.00800000002</v>
      </c>
      <c r="H14" s="166">
        <f>+H13</f>
        <v>108487.05840000002</v>
      </c>
    </row>
    <row r="15" spans="2:8" ht="17.25">
      <c r="B15" s="167"/>
      <c r="E15" s="168"/>
      <c r="F15" s="168"/>
      <c r="G15" s="169"/>
      <c r="H15" s="169"/>
    </row>
    <row r="16" spans="1:8" ht="18" thickBot="1">
      <c r="A16" s="167" t="s">
        <v>149</v>
      </c>
      <c r="B16" s="163"/>
      <c r="E16" s="168"/>
      <c r="F16" s="168"/>
      <c r="G16" s="169"/>
      <c r="H16" s="169"/>
    </row>
    <row r="17" spans="1:8" ht="13.5" thickBot="1">
      <c r="A17" s="170" t="s">
        <v>1</v>
      </c>
      <c r="B17" s="171" t="s">
        <v>2</v>
      </c>
      <c r="C17" s="172" t="s">
        <v>181</v>
      </c>
      <c r="D17" s="172">
        <v>2010</v>
      </c>
      <c r="E17" s="144">
        <v>2011</v>
      </c>
      <c r="F17" s="144">
        <v>2012</v>
      </c>
      <c r="G17" s="144">
        <v>2013</v>
      </c>
      <c r="H17" s="144">
        <v>2014</v>
      </c>
    </row>
    <row r="18" spans="1:8" ht="12.75">
      <c r="A18" s="173" t="s">
        <v>6</v>
      </c>
      <c r="B18" s="174" t="s">
        <v>150</v>
      </c>
      <c r="C18" s="175">
        <v>5333</v>
      </c>
      <c r="D18" s="176">
        <v>5447</v>
      </c>
      <c r="E18" s="177">
        <f aca="true" t="shared" si="2" ref="E18:H19">+D18*1.04</f>
        <v>5664.88</v>
      </c>
      <c r="F18" s="177">
        <f t="shared" si="2"/>
        <v>5891.475200000001</v>
      </c>
      <c r="G18" s="177">
        <f t="shared" si="2"/>
        <v>6127.134208000001</v>
      </c>
      <c r="H18" s="177">
        <f t="shared" si="2"/>
        <v>6372.219576320002</v>
      </c>
    </row>
    <row r="19" spans="1:8" ht="12.75">
      <c r="A19" s="151" t="s">
        <v>14</v>
      </c>
      <c r="B19" s="152" t="s">
        <v>151</v>
      </c>
      <c r="C19" s="178">
        <v>27271</v>
      </c>
      <c r="D19" s="179">
        <v>27519</v>
      </c>
      <c r="E19" s="150">
        <f t="shared" si="2"/>
        <v>28619.760000000002</v>
      </c>
      <c r="F19" s="150">
        <f t="shared" si="2"/>
        <v>29764.550400000004</v>
      </c>
      <c r="G19" s="150">
        <f t="shared" si="2"/>
        <v>30955.132416000004</v>
      </c>
      <c r="H19" s="150">
        <f t="shared" si="2"/>
        <v>32193.337712640005</v>
      </c>
    </row>
    <row r="20" spans="1:8" ht="12.75">
      <c r="A20" s="151" t="s">
        <v>20</v>
      </c>
      <c r="B20" s="152" t="s">
        <v>152</v>
      </c>
      <c r="C20" s="178">
        <v>2686</v>
      </c>
      <c r="D20" s="179">
        <v>2773</v>
      </c>
      <c r="E20" s="150">
        <f>+D20*1.04</f>
        <v>2883.92</v>
      </c>
      <c r="F20" s="150">
        <f aca="true" t="shared" si="3" ref="F20:H21">+E20*1.04</f>
        <v>2999.2768</v>
      </c>
      <c r="G20" s="150">
        <f t="shared" si="3"/>
        <v>3119.2478720000004</v>
      </c>
      <c r="H20" s="150">
        <f t="shared" si="3"/>
        <v>3244.0177868800006</v>
      </c>
    </row>
    <row r="21" spans="1:8" ht="12.75">
      <c r="A21" s="151" t="s">
        <v>36</v>
      </c>
      <c r="B21" s="152" t="s">
        <v>153</v>
      </c>
      <c r="C21" s="178">
        <v>39604</v>
      </c>
      <c r="D21" s="149">
        <v>27291</v>
      </c>
      <c r="E21" s="150">
        <f>8368+16132</f>
        <v>24500</v>
      </c>
      <c r="F21" s="150">
        <v>9000</v>
      </c>
      <c r="G21" s="150">
        <f t="shared" si="3"/>
        <v>9360</v>
      </c>
      <c r="H21" s="150">
        <f t="shared" si="3"/>
        <v>9734.4</v>
      </c>
    </row>
    <row r="22" spans="1:8" ht="12.75">
      <c r="A22" s="151" t="s">
        <v>44</v>
      </c>
      <c r="B22" s="152" t="s">
        <v>154</v>
      </c>
      <c r="C22" s="178">
        <v>11052</v>
      </c>
      <c r="D22" s="179">
        <v>11066</v>
      </c>
      <c r="E22" s="150">
        <f aca="true" t="shared" si="4" ref="E22:H23">+D22*1.04</f>
        <v>11508.640000000001</v>
      </c>
      <c r="F22" s="150">
        <f t="shared" si="4"/>
        <v>11968.985600000002</v>
      </c>
      <c r="G22" s="150">
        <f t="shared" si="4"/>
        <v>12447.745024000002</v>
      </c>
      <c r="H22" s="150">
        <f t="shared" si="4"/>
        <v>12945.654824960002</v>
      </c>
    </row>
    <row r="23" spans="1:8" ht="12.75">
      <c r="A23" s="151" t="s">
        <v>48</v>
      </c>
      <c r="B23" s="152" t="s">
        <v>155</v>
      </c>
      <c r="C23" s="178">
        <v>4202</v>
      </c>
      <c r="D23" s="179">
        <v>5477</v>
      </c>
      <c r="E23" s="150">
        <f t="shared" si="4"/>
        <v>5696.08</v>
      </c>
      <c r="F23" s="150">
        <f t="shared" si="4"/>
        <v>5923.9232</v>
      </c>
      <c r="G23" s="150">
        <f t="shared" si="4"/>
        <v>6160.880128000001</v>
      </c>
      <c r="H23" s="150">
        <f t="shared" si="4"/>
        <v>6407.315333120001</v>
      </c>
    </row>
    <row r="24" spans="1:8" ht="12.75">
      <c r="A24" s="151" t="s">
        <v>50</v>
      </c>
      <c r="B24" s="152" t="s">
        <v>156</v>
      </c>
      <c r="C24" s="178">
        <v>27732</v>
      </c>
      <c r="D24" s="179">
        <v>27400</v>
      </c>
      <c r="E24" s="150">
        <f aca="true" t="shared" si="5" ref="E24:H26">+D24*1.04</f>
        <v>28496</v>
      </c>
      <c r="F24" s="150">
        <f t="shared" si="5"/>
        <v>29635.84</v>
      </c>
      <c r="G24" s="150">
        <f t="shared" si="5"/>
        <v>30821.2736</v>
      </c>
      <c r="H24" s="150">
        <f t="shared" si="5"/>
        <v>32054.124544000002</v>
      </c>
    </row>
    <row r="25" spans="1:8" ht="12.75">
      <c r="A25" s="151" t="s">
        <v>52</v>
      </c>
      <c r="B25" s="152" t="s">
        <v>144</v>
      </c>
      <c r="C25" s="178">
        <v>2815</v>
      </c>
      <c r="D25" s="179">
        <v>1704</v>
      </c>
      <c r="E25" s="150">
        <f t="shared" si="5"/>
        <v>1772.16</v>
      </c>
      <c r="F25" s="150">
        <f t="shared" si="5"/>
        <v>1843.0464000000002</v>
      </c>
      <c r="G25" s="150">
        <f t="shared" si="5"/>
        <v>1916.7682560000003</v>
      </c>
      <c r="H25" s="150">
        <f t="shared" si="5"/>
        <v>1993.4389862400003</v>
      </c>
    </row>
    <row r="26" spans="1:8" ht="13.5" thickBot="1">
      <c r="A26" s="155" t="s">
        <v>59</v>
      </c>
      <c r="B26" s="156" t="s">
        <v>147</v>
      </c>
      <c r="C26" s="180">
        <v>139489</v>
      </c>
      <c r="D26" s="181">
        <v>617</v>
      </c>
      <c r="E26" s="150">
        <f t="shared" si="5"/>
        <v>641.6800000000001</v>
      </c>
      <c r="F26" s="150">
        <f t="shared" si="5"/>
        <v>667.3472</v>
      </c>
      <c r="G26" s="150">
        <f t="shared" si="5"/>
        <v>694.0410880000001</v>
      </c>
      <c r="H26" s="150">
        <f t="shared" si="5"/>
        <v>721.8027315200001</v>
      </c>
    </row>
    <row r="27" spans="1:8" ht="13.5" thickBot="1">
      <c r="A27" s="160"/>
      <c r="B27" s="182" t="s">
        <v>110</v>
      </c>
      <c r="C27" s="183">
        <f aca="true" t="shared" si="6" ref="C27:H27">SUM(C18:C26)</f>
        <v>260184</v>
      </c>
      <c r="D27" s="183">
        <f t="shared" si="6"/>
        <v>109294</v>
      </c>
      <c r="E27" s="162">
        <f t="shared" si="6"/>
        <v>109783.12</v>
      </c>
      <c r="F27" s="162">
        <f t="shared" si="6"/>
        <v>97694.44480000001</v>
      </c>
      <c r="G27" s="162">
        <f t="shared" si="6"/>
        <v>101602.222592</v>
      </c>
      <c r="H27" s="162">
        <f t="shared" si="6"/>
        <v>105666.31149568001</v>
      </c>
    </row>
    <row r="28" spans="1:8" ht="13.5" thickBot="1">
      <c r="A28" s="184"/>
      <c r="B28" s="185" t="s">
        <v>148</v>
      </c>
      <c r="C28" s="186">
        <v>120654</v>
      </c>
      <c r="D28" s="186">
        <f>+D27-639</f>
        <v>108655</v>
      </c>
      <c r="E28" s="186">
        <f>+E27</f>
        <v>109783.12</v>
      </c>
      <c r="F28" s="186">
        <f>+F27</f>
        <v>97694.44480000001</v>
      </c>
      <c r="G28" s="186">
        <f>+G27</f>
        <v>101602.222592</v>
      </c>
      <c r="H28" s="186">
        <f>+H27</f>
        <v>105666.31149568001</v>
      </c>
    </row>
    <row r="30" ht="12.75">
      <c r="B30" s="187"/>
    </row>
    <row r="52" spans="2:8" ht="17.25">
      <c r="B52" s="283" t="s">
        <v>157</v>
      </c>
      <c r="C52" s="283"/>
      <c r="D52" s="283"/>
      <c r="E52" s="283"/>
      <c r="F52" s="283"/>
      <c r="G52" s="283"/>
      <c r="H52" s="283"/>
    </row>
    <row r="53" ht="18" thickBot="1">
      <c r="B53" s="188"/>
    </row>
    <row r="54" spans="2:8" ht="13.5" thickBot="1">
      <c r="B54" s="189" t="s">
        <v>158</v>
      </c>
      <c r="C54" s="143" t="s">
        <v>181</v>
      </c>
      <c r="D54" s="143">
        <v>2010</v>
      </c>
      <c r="E54" s="143">
        <v>2011</v>
      </c>
      <c r="F54" s="143">
        <v>2012</v>
      </c>
      <c r="G54" s="143">
        <v>2013</v>
      </c>
      <c r="H54" s="143">
        <v>2014</v>
      </c>
    </row>
    <row r="55" spans="2:8" ht="13.5" thickBot="1">
      <c r="B55" s="187"/>
      <c r="C55" s="190"/>
      <c r="D55" s="190"/>
      <c r="E55" s="190"/>
      <c r="F55" s="190"/>
      <c r="G55" s="190"/>
      <c r="H55" s="190"/>
    </row>
    <row r="56" spans="2:8" ht="12.75">
      <c r="B56" s="173" t="s">
        <v>159</v>
      </c>
      <c r="C56" s="191">
        <f aca="true" t="shared" si="7" ref="C56:H56">+C14</f>
        <v>124417</v>
      </c>
      <c r="D56" s="192">
        <f t="shared" si="7"/>
        <v>114885</v>
      </c>
      <c r="E56" s="193">
        <f t="shared" si="7"/>
        <v>93715.2</v>
      </c>
      <c r="F56" s="192">
        <f t="shared" si="7"/>
        <v>98400.96</v>
      </c>
      <c r="G56" s="192">
        <f t="shared" si="7"/>
        <v>103321.00800000002</v>
      </c>
      <c r="H56" s="192">
        <f t="shared" si="7"/>
        <v>108487.05840000002</v>
      </c>
    </row>
    <row r="57" spans="2:8" ht="13.5" thickBot="1">
      <c r="B57" s="194" t="s">
        <v>160</v>
      </c>
      <c r="C57" s="195">
        <f aca="true" t="shared" si="8" ref="C57:H57">+C28</f>
        <v>120654</v>
      </c>
      <c r="D57" s="196">
        <f t="shared" si="8"/>
        <v>108655</v>
      </c>
      <c r="E57" s="197">
        <f t="shared" si="8"/>
        <v>109783.12</v>
      </c>
      <c r="F57" s="198">
        <f t="shared" si="8"/>
        <v>97694.44480000001</v>
      </c>
      <c r="G57" s="198">
        <f t="shared" si="8"/>
        <v>101602.222592</v>
      </c>
      <c r="H57" s="198">
        <f t="shared" si="8"/>
        <v>105666.31149568001</v>
      </c>
    </row>
    <row r="58" spans="2:8" ht="13.5" thickBot="1">
      <c r="B58" s="160" t="s">
        <v>161</v>
      </c>
      <c r="C58" s="199">
        <f aca="true" t="shared" si="9" ref="C58:H58">+C56-C57</f>
        <v>3763</v>
      </c>
      <c r="D58" s="199">
        <f t="shared" si="9"/>
        <v>6230</v>
      </c>
      <c r="E58" s="200">
        <f t="shared" si="9"/>
        <v>-16067.919999999998</v>
      </c>
      <c r="F58" s="200">
        <f t="shared" si="9"/>
        <v>706.5151999999944</v>
      </c>
      <c r="G58" s="200">
        <f t="shared" si="9"/>
        <v>1718.7854080000106</v>
      </c>
      <c r="H58" s="200">
        <f t="shared" si="9"/>
        <v>2820.746904320011</v>
      </c>
    </row>
    <row r="59" spans="2:8" ht="13.5" thickBot="1">
      <c r="B59" s="187"/>
      <c r="C59" s="201"/>
      <c r="D59" s="201"/>
      <c r="E59" s="201"/>
      <c r="F59" s="201"/>
      <c r="G59" s="201"/>
      <c r="H59" s="201"/>
    </row>
    <row r="60" spans="2:8" ht="12.75">
      <c r="B60" s="202" t="s">
        <v>162</v>
      </c>
      <c r="C60" s="203">
        <v>20288</v>
      </c>
      <c r="D60" s="204">
        <f>5962+3753+3000+4762</f>
        <v>17477</v>
      </c>
      <c r="E60" s="205">
        <f>16132+3000</f>
        <v>19132</v>
      </c>
      <c r="F60" s="204">
        <f>3615+1500</f>
        <v>5115</v>
      </c>
      <c r="G60" s="204"/>
      <c r="H60" s="204"/>
    </row>
    <row r="61" spans="2:8" ht="12.75">
      <c r="B61" s="206" t="s">
        <v>109</v>
      </c>
      <c r="C61" s="207">
        <v>-22625</v>
      </c>
      <c r="D61" s="208">
        <f>-205-608-1400-3000-12200-4762</f>
        <v>-22175</v>
      </c>
      <c r="E61" s="209">
        <f>-214-608-1400-3000</f>
        <v>-5222</v>
      </c>
      <c r="F61" s="208">
        <f>-224-606-1875-3000</f>
        <v>-5705</v>
      </c>
      <c r="G61" s="208">
        <f>-234-2500</f>
        <v>-2734</v>
      </c>
      <c r="H61" s="208">
        <f>-245-2500</f>
        <v>-2745</v>
      </c>
    </row>
    <row r="62" spans="2:8" ht="13.5" thickBot="1">
      <c r="B62" s="210" t="s">
        <v>163</v>
      </c>
      <c r="C62" s="211">
        <v>-1426</v>
      </c>
      <c r="D62" s="212">
        <v>-1532</v>
      </c>
      <c r="E62" s="213">
        <v>2158</v>
      </c>
      <c r="F62" s="212">
        <v>-117</v>
      </c>
      <c r="G62" s="212">
        <v>1015</v>
      </c>
      <c r="H62" s="212">
        <v>-76</v>
      </c>
    </row>
    <row r="63" spans="2:8" ht="13.5" thickBot="1">
      <c r="B63" s="160" t="s">
        <v>164</v>
      </c>
      <c r="C63" s="214">
        <f aca="true" t="shared" si="10" ref="C63:H63">SUM(C60:C62)</f>
        <v>-3763</v>
      </c>
      <c r="D63" s="214">
        <f t="shared" si="10"/>
        <v>-6230</v>
      </c>
      <c r="E63" s="215">
        <f t="shared" si="10"/>
        <v>16068</v>
      </c>
      <c r="F63" s="215">
        <f t="shared" si="10"/>
        <v>-707</v>
      </c>
      <c r="G63" s="215">
        <f t="shared" si="10"/>
        <v>-1719</v>
      </c>
      <c r="H63" s="215">
        <f t="shared" si="10"/>
        <v>-2821</v>
      </c>
    </row>
    <row r="64" spans="2:8" ht="13.5" thickBot="1">
      <c r="B64" s="216"/>
      <c r="C64" s="216"/>
      <c r="D64" s="216"/>
      <c r="E64" s="216"/>
      <c r="F64" s="216"/>
      <c r="G64" s="216"/>
      <c r="H64" s="216"/>
    </row>
    <row r="65" spans="2:8" ht="13.5" thickBot="1">
      <c r="B65" s="189" t="s">
        <v>165</v>
      </c>
      <c r="C65" s="200">
        <f>3789+130</f>
        <v>3919</v>
      </c>
      <c r="D65" s="200">
        <f>C65-D62</f>
        <v>5451</v>
      </c>
      <c r="E65" s="200">
        <f>D65-E62</f>
        <v>3293</v>
      </c>
      <c r="F65" s="200">
        <f>E65-F62</f>
        <v>3410</v>
      </c>
      <c r="G65" s="200">
        <f>F65-G62</f>
        <v>2395</v>
      </c>
      <c r="H65" s="200">
        <f>G65-H62</f>
        <v>2471</v>
      </c>
    </row>
    <row r="66" spans="2:8" ht="13.5" thickBot="1">
      <c r="B66" s="216"/>
      <c r="C66" s="216"/>
      <c r="D66" s="216"/>
      <c r="E66" s="216"/>
      <c r="F66" s="216"/>
      <c r="G66" s="216"/>
      <c r="H66" s="216"/>
    </row>
    <row r="67" spans="2:8" ht="13.5" thickBot="1">
      <c r="B67" s="189" t="s">
        <v>166</v>
      </c>
      <c r="C67" s="217">
        <v>-0.415</v>
      </c>
      <c r="D67" s="217">
        <f>(+D61-800)/(65730)</f>
        <v>-0.34953598052639584</v>
      </c>
      <c r="E67" s="217">
        <f>(+E61-700)/(69016)</f>
        <v>-0.08580618986901588</v>
      </c>
      <c r="F67" s="217">
        <f>(+F61-400)/(72467)</f>
        <v>-0.08424524266217727</v>
      </c>
      <c r="G67" s="217">
        <f>(+G61-50)/(76090)</f>
        <v>-0.03658825075568406</v>
      </c>
      <c r="H67" s="217">
        <f>(+H61-50)/(76090)</f>
        <v>-0.03673281640162965</v>
      </c>
    </row>
    <row r="68" spans="3:8" ht="13.5" thickBot="1">
      <c r="C68" s="140" t="s">
        <v>167</v>
      </c>
      <c r="D68" s="140" t="s">
        <v>167</v>
      </c>
      <c r="E68" s="140" t="s">
        <v>167</v>
      </c>
      <c r="F68" s="140" t="s">
        <v>167</v>
      </c>
      <c r="G68" s="140" t="s">
        <v>167</v>
      </c>
      <c r="H68" s="140" t="s">
        <v>167</v>
      </c>
    </row>
    <row r="69" spans="2:8" ht="13.5" thickBot="1">
      <c r="B69" s="218" t="s">
        <v>168</v>
      </c>
      <c r="C69" s="219">
        <v>17519</v>
      </c>
      <c r="D69" s="219">
        <f>+C69+D60+D61</f>
        <v>12821</v>
      </c>
      <c r="E69" s="219">
        <f>+D69+E60+E61</f>
        <v>26731</v>
      </c>
      <c r="F69" s="219">
        <f>+E69+F60+F61</f>
        <v>26141</v>
      </c>
      <c r="G69" s="219">
        <f>+F69+G60+G61</f>
        <v>23407</v>
      </c>
      <c r="H69" s="219">
        <f>+G69+H60+H61</f>
        <v>20662</v>
      </c>
    </row>
    <row r="70" ht="12.75">
      <c r="B70" s="140" t="s">
        <v>169</v>
      </c>
    </row>
    <row r="74" ht="15">
      <c r="B74" s="220" t="s">
        <v>170</v>
      </c>
    </row>
    <row r="75" spans="2:8" ht="13.5" thickBot="1">
      <c r="B75" s="168" t="s">
        <v>171</v>
      </c>
      <c r="C75" s="221" t="s">
        <v>181</v>
      </c>
      <c r="D75" s="221">
        <v>2010</v>
      </c>
      <c r="E75" s="221">
        <v>2011</v>
      </c>
      <c r="F75" s="221">
        <v>2012</v>
      </c>
      <c r="G75" s="221">
        <v>2013</v>
      </c>
      <c r="H75" s="221">
        <v>2014</v>
      </c>
    </row>
    <row r="76" spans="2:8" ht="12.75">
      <c r="B76" s="202" t="s">
        <v>172</v>
      </c>
      <c r="C76" s="222">
        <v>35574</v>
      </c>
      <c r="D76" s="222">
        <f>SUM(D5:D6)</f>
        <v>39383</v>
      </c>
      <c r="E76" s="222">
        <f>SUM(E5:E6)</f>
        <v>41352.15</v>
      </c>
      <c r="F76" s="222">
        <f>SUM(F5:F6)</f>
        <v>43419.75750000001</v>
      </c>
      <c r="G76" s="223">
        <f>SUM(G5:G6)</f>
        <v>45590.745375000006</v>
      </c>
      <c r="H76" s="224">
        <f>SUM(H5:H6)</f>
        <v>47870.28264375001</v>
      </c>
    </row>
    <row r="77" spans="2:8" ht="12.75">
      <c r="B77" s="71" t="s">
        <v>173</v>
      </c>
      <c r="C77" s="153">
        <v>7230</v>
      </c>
      <c r="D77" s="153">
        <f>+D13-D76-D78-D79</f>
        <v>6441</v>
      </c>
      <c r="E77" s="153">
        <f>+E13-E76-E78-E79</f>
        <v>6763.049999999996</v>
      </c>
      <c r="F77" s="153">
        <f>+F13-F76-F78-F79</f>
        <v>7101.202499999999</v>
      </c>
      <c r="G77" s="225">
        <f>+G13-G76-G78-G79</f>
        <v>7456.26262500001</v>
      </c>
      <c r="H77" s="154">
        <f>+H13-H76-H78-H79</f>
        <v>7829.0757562500075</v>
      </c>
    </row>
    <row r="78" spans="2:8" ht="12.75">
      <c r="B78" s="71" t="s">
        <v>174</v>
      </c>
      <c r="C78" s="153">
        <v>3752</v>
      </c>
      <c r="D78" s="153">
        <f>+D7</f>
        <v>4366</v>
      </c>
      <c r="E78" s="153">
        <f>+E7</f>
        <v>500</v>
      </c>
      <c r="F78" s="153">
        <f>+F7</f>
        <v>525</v>
      </c>
      <c r="G78" s="225">
        <f>+G7</f>
        <v>551.25</v>
      </c>
      <c r="H78" s="154">
        <f>+H7</f>
        <v>578.8125</v>
      </c>
    </row>
    <row r="79" spans="2:8" ht="13.5" thickBot="1">
      <c r="B79" s="226" t="s">
        <v>175</v>
      </c>
      <c r="C79" s="227">
        <v>217391</v>
      </c>
      <c r="D79" s="227">
        <f>+D4</f>
        <v>65334</v>
      </c>
      <c r="E79" s="227">
        <f>+E4</f>
        <v>45100</v>
      </c>
      <c r="F79" s="227">
        <f>+F4</f>
        <v>47355</v>
      </c>
      <c r="G79" s="228">
        <f>+G4</f>
        <v>49722.75</v>
      </c>
      <c r="H79" s="229">
        <f>+H4</f>
        <v>52208.887500000004</v>
      </c>
    </row>
    <row r="80" spans="2:8" ht="12.75">
      <c r="B80" s="230" t="s">
        <v>159</v>
      </c>
      <c r="C80" s="231">
        <f aca="true" t="shared" si="11" ref="C80:H80">SUM(C76:C79)</f>
        <v>263947</v>
      </c>
      <c r="D80" s="231">
        <f t="shared" si="11"/>
        <v>115524</v>
      </c>
      <c r="E80" s="231">
        <f t="shared" si="11"/>
        <v>93715.2</v>
      </c>
      <c r="F80" s="231">
        <f t="shared" si="11"/>
        <v>98400.96</v>
      </c>
      <c r="G80" s="232">
        <f t="shared" si="11"/>
        <v>103321.00800000002</v>
      </c>
      <c r="H80" s="233">
        <f t="shared" si="11"/>
        <v>108487.05840000002</v>
      </c>
    </row>
    <row r="81" spans="2:8" ht="13.5" thickBot="1">
      <c r="B81" s="234" t="s">
        <v>176</v>
      </c>
      <c r="C81" s="235">
        <v>124417</v>
      </c>
      <c r="D81" s="235">
        <f>+D80-612</f>
        <v>114912</v>
      </c>
      <c r="E81" s="235">
        <f>+E80</f>
        <v>93715.2</v>
      </c>
      <c r="F81" s="235">
        <f>+F80</f>
        <v>98400.96</v>
      </c>
      <c r="G81" s="236">
        <f>+G80</f>
        <v>103321.00800000002</v>
      </c>
      <c r="H81" s="237">
        <f>+H80</f>
        <v>108487.05840000002</v>
      </c>
    </row>
    <row r="82" spans="3:8" ht="13.5" thickBot="1">
      <c r="C82" s="238"/>
      <c r="D82" s="238"/>
      <c r="E82" s="238"/>
      <c r="F82" s="238"/>
      <c r="G82" s="238"/>
      <c r="H82" s="238"/>
    </row>
    <row r="83" spans="2:8" ht="12.75">
      <c r="B83" s="202" t="s">
        <v>177</v>
      </c>
      <c r="C83" s="222">
        <v>220140</v>
      </c>
      <c r="D83" s="222">
        <f>+D27-D21</f>
        <v>82003</v>
      </c>
      <c r="E83" s="222">
        <f>+E27-E21</f>
        <v>85283.12</v>
      </c>
      <c r="F83" s="222">
        <f>+F27-F21</f>
        <v>88694.44480000001</v>
      </c>
      <c r="G83" s="223">
        <f>+G27-G21</f>
        <v>92242.222592</v>
      </c>
      <c r="H83" s="222">
        <f>+H27-H21</f>
        <v>95931.91149568002</v>
      </c>
    </row>
    <row r="84" spans="2:8" ht="13.5" thickBot="1">
      <c r="B84" s="226" t="s">
        <v>178</v>
      </c>
      <c r="C84" s="157">
        <v>40044</v>
      </c>
      <c r="D84" s="157">
        <f>+D21</f>
        <v>27291</v>
      </c>
      <c r="E84" s="157">
        <f>+E21</f>
        <v>24500</v>
      </c>
      <c r="F84" s="157">
        <f>+F21</f>
        <v>9000</v>
      </c>
      <c r="G84" s="239">
        <f>+G21</f>
        <v>9360</v>
      </c>
      <c r="H84" s="158">
        <f>+H21</f>
        <v>9734.4</v>
      </c>
    </row>
    <row r="85" spans="2:8" ht="12.75">
      <c r="B85" s="240" t="s">
        <v>160</v>
      </c>
      <c r="C85" s="241">
        <f aca="true" t="shared" si="12" ref="C85:H85">SUM(C83:C84)</f>
        <v>260184</v>
      </c>
      <c r="D85" s="241">
        <f t="shared" si="12"/>
        <v>109294</v>
      </c>
      <c r="E85" s="241">
        <f t="shared" si="12"/>
        <v>109783.12</v>
      </c>
      <c r="F85" s="241">
        <f t="shared" si="12"/>
        <v>97694.44480000001</v>
      </c>
      <c r="G85" s="242">
        <f t="shared" si="12"/>
        <v>101602.222592</v>
      </c>
      <c r="H85" s="243">
        <f t="shared" si="12"/>
        <v>105666.31149568001</v>
      </c>
    </row>
    <row r="86" spans="2:8" ht="13.5" thickBot="1">
      <c r="B86" s="234" t="s">
        <v>179</v>
      </c>
      <c r="C86" s="235">
        <v>120654</v>
      </c>
      <c r="D86" s="235">
        <f>+D85-612</f>
        <v>108682</v>
      </c>
      <c r="E86" s="235">
        <f>+E85</f>
        <v>109783.12</v>
      </c>
      <c r="F86" s="235">
        <f>+F85</f>
        <v>97694.44480000001</v>
      </c>
      <c r="G86" s="236">
        <f>+G85</f>
        <v>101602.222592</v>
      </c>
      <c r="H86" s="237">
        <f>+H85</f>
        <v>105666.31149568001</v>
      </c>
    </row>
    <row r="87" spans="3:8" ht="13.5" thickBot="1">
      <c r="C87" s="238"/>
      <c r="D87" s="238"/>
      <c r="E87" s="238"/>
      <c r="F87" s="238"/>
      <c r="G87" s="238"/>
      <c r="H87" s="238"/>
    </row>
    <row r="88" spans="2:8" ht="13.5" thickBot="1">
      <c r="B88" s="244" t="s">
        <v>180</v>
      </c>
      <c r="C88" s="245">
        <f>+C81-C86</f>
        <v>3763</v>
      </c>
      <c r="D88" s="245">
        <f>+D81-D86</f>
        <v>6230</v>
      </c>
      <c r="E88" s="245">
        <f>+E81-E86</f>
        <v>-16067.919999999998</v>
      </c>
      <c r="F88" s="245">
        <f>+F81-F86</f>
        <v>706.5151999999944</v>
      </c>
      <c r="G88" s="246">
        <f>+G81-G86-1</f>
        <v>1717.7854080000106</v>
      </c>
      <c r="H88" s="247">
        <f>+H81-H86-1</f>
        <v>2819.746904320011</v>
      </c>
    </row>
    <row r="89" spans="2:8" ht="12.75">
      <c r="B89" s="276"/>
      <c r="C89" s="277"/>
      <c r="D89" s="277"/>
      <c r="E89" s="277"/>
      <c r="F89" s="277"/>
      <c r="G89" s="277"/>
      <c r="H89" s="277"/>
    </row>
    <row r="90" spans="2:8" ht="12.75">
      <c r="B90" s="168" t="s">
        <v>189</v>
      </c>
      <c r="C90" s="248"/>
      <c r="D90" s="275">
        <f>+D83/D85</f>
        <v>0.7502973630757407</v>
      </c>
      <c r="E90" s="275">
        <f>+E83/E85</f>
        <v>0.7768327225533397</v>
      </c>
      <c r="F90" s="275">
        <f>+F83/F85</f>
        <v>0.9078760310432717</v>
      </c>
      <c r="G90" s="275">
        <f>+G83/G85</f>
        <v>0.9078760310432717</v>
      </c>
      <c r="H90" s="275">
        <f>+H83/H85</f>
        <v>0.9078760310432719</v>
      </c>
    </row>
    <row r="91" spans="2:8" ht="12.75">
      <c r="B91" s="168" t="s">
        <v>188</v>
      </c>
      <c r="D91" s="275">
        <f>+D84/D85</f>
        <v>0.24970263692425934</v>
      </c>
      <c r="E91" s="275">
        <f>+E84/E85</f>
        <v>0.2231672774466603</v>
      </c>
      <c r="F91" s="275">
        <f>+F84/F85</f>
        <v>0.09212396895672822</v>
      </c>
      <c r="G91" s="275">
        <f>+G84/G85</f>
        <v>0.09212396895672822</v>
      </c>
      <c r="H91" s="275">
        <f>+H84/H85</f>
        <v>0.09212396895672822</v>
      </c>
    </row>
    <row r="92" spans="5:7" ht="12.75">
      <c r="E92" s="248"/>
      <c r="F92" s="248"/>
      <c r="G92" s="248"/>
    </row>
  </sheetData>
  <mergeCells count="1">
    <mergeCell ref="B52:H52"/>
  </mergeCells>
  <printOptions/>
  <pageMargins left="0.58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schválený ZM 22.11.2010
</oddHeader>
    <oddFooter>&amp;Lvyvěšeno: 
svěšeno:&amp;Rsestavil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2010-11-22T16:42:27Z</cp:lastPrinted>
  <dcterms:created xsi:type="dcterms:W3CDTF">2010-01-11T13:30:23Z</dcterms:created>
  <dcterms:modified xsi:type="dcterms:W3CDTF">2010-11-22T16:46:25Z</dcterms:modified>
  <cp:category/>
  <cp:version/>
  <cp:contentType/>
  <cp:contentStatus/>
</cp:coreProperties>
</file>