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9980" windowHeight="9468" activeTab="0"/>
  </bookViews>
  <sheets>
    <sheet name="Přímy_výdaje" sheetId="1" r:id="rId1"/>
    <sheet name="výhled 2008_12" sheetId="2" r:id="rId2"/>
  </sheets>
  <definedNames>
    <definedName name="_xlnm.Print_Area" localSheetId="0">'Přímy_výdaje'!$A$1:$H$104</definedName>
    <definedName name="_xlnm.Print_Area" localSheetId="1">'výhled 2008_12'!$A$1:$H$70</definedName>
  </definedNames>
  <calcPr fullCalcOnLoad="1"/>
</workbook>
</file>

<file path=xl/sharedStrings.xml><?xml version="1.0" encoding="utf-8"?>
<sst xmlns="http://schemas.openxmlformats.org/spreadsheetml/2006/main" count="248" uniqueCount="158">
  <si>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</si>
  <si>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</si>
  <si>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</si>
  <si>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</si>
  <si>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</si>
  <si>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</si>
  <si>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</si>
  <si>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</si>
  <si>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</si>
  <si>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soc. dávky</t>
  </si>
  <si>
    <t>peč.služba</t>
  </si>
  <si>
    <t>knihovna</t>
  </si>
  <si>
    <t>ostatní (ÚP, LČR, KúPK)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</si>
  <si>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</si>
  <si>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</si>
  <si>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</si>
  <si>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</si>
  <si>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</si>
  <si>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</si>
  <si>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</si>
  <si>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</si>
  <si>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>stavební povol.</t>
  </si>
  <si>
    <t>evidence (OP,pasy, ŘP, dopr....)</t>
  </si>
  <si>
    <t>hrací automaty</t>
  </si>
  <si>
    <t>ověřování</t>
  </si>
  <si>
    <t>živnostenské</t>
  </si>
  <si>
    <t>Popl.místní</t>
  </si>
  <si>
    <t>ze psů</t>
  </si>
  <si>
    <t>z veřejného pr.</t>
  </si>
  <si>
    <t>vstupné, ubyt.kapacita, ost.</t>
  </si>
  <si>
    <t>likv.odpadu (občané)</t>
  </si>
  <si>
    <t>IV.</t>
  </si>
  <si>
    <t>PRODEJE</t>
  </si>
  <si>
    <t xml:space="preserve">bytů </t>
  </si>
  <si>
    <t>V.</t>
  </si>
  <si>
    <t>NÁJMY</t>
  </si>
  <si>
    <t>z nebyt. prostor - KB</t>
  </si>
  <si>
    <t>ost.nebyt.prostory, pozemky</t>
  </si>
  <si>
    <t>VI.</t>
  </si>
  <si>
    <t>LESY</t>
  </si>
  <si>
    <t>VII.</t>
  </si>
  <si>
    <t>BYT.HOSP - převod</t>
  </si>
  <si>
    <t>VIII.</t>
  </si>
  <si>
    <t>ZVL.PŘÍJMY</t>
  </si>
  <si>
    <t>úroky,ostatní</t>
  </si>
  <si>
    <t>provoz městs.busu</t>
  </si>
  <si>
    <t>převod od byt.družstva Am.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</si>
  <si>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</si>
  <si>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</si>
  <si>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</si>
  <si>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</si>
  <si>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</si>
  <si>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</si>
  <si>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</si>
  <si>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</si>
  <si>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</si>
  <si>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ZŠ-plavecká učebna</t>
  </si>
  <si>
    <t>ZŠ-ŠJ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</si>
  <si>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</si>
  <si>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</si>
  <si>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</si>
  <si>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</si>
  <si>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</si>
  <si>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</si>
  <si>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</si>
  <si>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</si>
  <si>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a opravy</t>
  </si>
  <si>
    <t>LD- blov.noviny</t>
  </si>
  <si>
    <t>Sokol</t>
  </si>
  <si>
    <t>ost.spolky+kult.akce</t>
  </si>
  <si>
    <t>ROZVOJ MĚSTA</t>
  </si>
  <si>
    <t xml:space="preserve">"Čistá Berounka" </t>
  </si>
  <si>
    <t>Ost.akce (PD)</t>
  </si>
  <si>
    <t>ÚDRŽBA MĚSTA</t>
  </si>
  <si>
    <t>voda, kanal., plyn</t>
  </si>
  <si>
    <t>opravy MK+dopr.zn.+havárie</t>
  </si>
  <si>
    <t xml:space="preserve">úklid, zimní údržba </t>
  </si>
  <si>
    <t>odpad</t>
  </si>
  <si>
    <t>prac.četa města</t>
  </si>
  <si>
    <t>věř.osvětlení</t>
  </si>
  <si>
    <t>SDH Blovice - provoz</t>
  </si>
  <si>
    <t>RŮZNÉ VÝDAJE</t>
  </si>
  <si>
    <t>odvody FÚ</t>
  </si>
  <si>
    <t>dopr.obslužnost+BUS</t>
  </si>
  <si>
    <t>čistírna</t>
  </si>
  <si>
    <t>úroky z úvěrů</t>
  </si>
  <si>
    <t>odvod daně za město</t>
  </si>
  <si>
    <t>Mikroregion - fin.spoluúčast</t>
  </si>
  <si>
    <t>"Čistá Berounka" provoz svazku</t>
  </si>
  <si>
    <t>ostatní výdaje</t>
  </si>
  <si>
    <t>SOC.VĚCI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</si>
  <si>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</si>
  <si>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</si>
  <si>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</si>
  <si>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</si>
  <si>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</si>
  <si>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</si>
  <si>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</si>
  <si>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</si>
  <si>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</si>
  <si>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</si>
  <si>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</si>
  <si>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</si>
  <si>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</si>
  <si>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 xml:space="preserve">vratka dotace ZŠ </t>
  </si>
  <si>
    <t>SOKOL - hřiště</t>
  </si>
  <si>
    <t>Poč.stav prostř.na účtech rozp.hosp.(z r.2007)</t>
  </si>
  <si>
    <t>ostatní prodej nem.</t>
  </si>
  <si>
    <t>ZŠ družina + dětské hřiště</t>
  </si>
  <si>
    <t>ZŠ provoz</t>
  </si>
  <si>
    <t>komunikace Blahnova</t>
  </si>
  <si>
    <t>kanalizace Hájek, Rauš.sady</t>
  </si>
  <si>
    <t>zeleň (Multicar), hřbitov (márnice)</t>
  </si>
  <si>
    <t>obnova vodov.sítě</t>
  </si>
  <si>
    <t>kotelny (TEBYT BTZ)</t>
  </si>
  <si>
    <t xml:space="preserve">nevyuž.soc.dávky </t>
  </si>
  <si>
    <t>střecha radnice - 1.etapa</t>
  </si>
  <si>
    <t xml:space="preserve">Příjmy </t>
  </si>
  <si>
    <t>Školství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</si>
  <si>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</si>
  <si>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</si>
  <si>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</si>
  <si>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</si>
  <si>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</si>
  <si>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</si>
  <si>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</si>
  <si>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</si>
  <si>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</si>
  <si>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</si>
  <si>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</si>
  <si>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</si>
  <si>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</si>
  <si>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</si>
  <si>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</si>
  <si>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</si>
  <si>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</si>
  <si>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</si>
  <si>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</si>
  <si>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</si>
  <si>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</si>
  <si>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</si>
  <si>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>Přijaté úvěry - již schválené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</si>
  <si>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</si>
  <si>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</si>
  <si>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</si>
  <si>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</si>
  <si>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</si>
  <si>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</si>
  <si>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</si>
  <si>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rozpočet 2008</t>
  </si>
  <si>
    <t xml:space="preserve">MŠ okna, zateplení </t>
  </si>
  <si>
    <t>I.úprava</t>
  </si>
  <si>
    <t>ostatní poplatky</t>
  </si>
  <si>
    <t>autoškola, ryb.lístky…</t>
  </si>
  <si>
    <t>kanalizace Hájek</t>
  </si>
  <si>
    <t>školství (KúPK+obce)</t>
  </si>
  <si>
    <t>výsl.2007</t>
  </si>
  <si>
    <t>Přijaté úvěry (revolving + refinanc.hyp.)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</si>
</sst>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0\ &quot;Kč&quot;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m/d/yyyy"/>
    <numFmt numFmtId="186" formatCode="0.00000"/>
    <numFmt numFmtId="187" formatCode="0.0000"/>
    <numFmt numFmtId="188" formatCode="_-* #,##0.0\ &quot;Kč&quot;_-;\-* #,##0.0\ &quot;Kč&quot;_-;_-* &quot;-&quot;??\ &quot;Kč&quot;_-;_-@_-"/>
    <numFmt numFmtId="189" formatCode="_-* #,##0\ &quot;Kč&quot;_-;\-* #,##0\ &quot;Kč&quot;_-;_-* &quot;-&quot;??\ &quot;Kč&quot;_-;_-@_-"/>
    <numFmt numFmtId="190" formatCode="#,##0.00\ [$Kč-405]"/>
    <numFmt numFmtId="191" formatCode="#,##0.000\ [$Kč-405]"/>
    <numFmt numFmtId="192" formatCode="#,##0.0\ [$Kč-405]"/>
    <numFmt numFmtId="193" formatCode="#,##0\ [$Kč-405]"/>
    <numFmt numFmtId="194" formatCode="&quot;Kč&quot;#,##0"/>
    <numFmt numFmtId="195" formatCode="[$ESP]\ #,##0.00"/>
    <numFmt numFmtId="196" formatCode="0.000%"/>
    <numFmt numFmtId="197" formatCode="0.00000000"/>
    <numFmt numFmtId="198" formatCode="0.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2"/>
    </font>
    <font>
      <b/>
      <i/>
      <sz val="13"/>
      <name val="Arial CE"/>
      <family val="2"/>
    </font>
    <font>
      <sz val="20"/>
      <name val="Arial CE"/>
      <family val="0"/>
    </font>
    <font>
      <sz val="15.5"/>
      <name val="Arial CE"/>
      <family val="0"/>
    </font>
    <font>
      <sz val="11.25"/>
      <name val="Arial CE"/>
      <family val="2"/>
    </font>
    <font>
      <sz val="8.5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36" xfId="0" applyFon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21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9" fillId="0" borderId="3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" fontId="0" fillId="0" borderId="0" xfId="0" applyNumberFormat="1" applyAlignment="1">
      <alignment/>
    </xf>
    <xf numFmtId="1" fontId="4" fillId="0" borderId="37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80" fontId="9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10" fillId="0" borderId="27" xfId="0" applyNumberFormat="1" applyFont="1" applyFill="1" applyBorder="1" applyAlignment="1">
      <alignment/>
    </xf>
    <xf numFmtId="1" fontId="10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" fontId="4" fillId="0" borderId="31" xfId="0" applyNumberFormat="1" applyFont="1" applyFill="1" applyBorder="1" applyAlignment="1" applyProtection="1">
      <alignment/>
      <protection locked="0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11" fillId="0" borderId="27" xfId="0" applyNumberFormat="1" applyFont="1" applyFill="1" applyBorder="1" applyAlignment="1">
      <alignment/>
    </xf>
    <xf numFmtId="1" fontId="11" fillId="0" borderId="31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0" fillId="0" borderId="42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4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4" fillId="0" borderId="36" xfId="0" applyFont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1" fontId="9" fillId="0" borderId="38" xfId="0" applyNumberFormat="1" applyFont="1" applyFill="1" applyBorder="1" applyAlignment="1">
      <alignment/>
    </xf>
    <xf numFmtId="1" fontId="8" fillId="0" borderId="3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1" fontId="8" fillId="0" borderId="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4" fillId="0" borderId="35" xfId="0" applyFont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4" fillId="0" borderId="3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/>
    </xf>
    <xf numFmtId="1" fontId="8" fillId="0" borderId="45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8" fillId="0" borderId="31" xfId="0" applyNumberFormat="1" applyFont="1" applyFill="1" applyBorder="1" applyAlignment="1">
      <alignment/>
    </xf>
    <xf numFmtId="1" fontId="8" fillId="0" borderId="44" xfId="0" applyNumberFormat="1" applyFont="1" applyFill="1" applyBorder="1" applyAlignment="1">
      <alignment/>
    </xf>
    <xf numFmtId="1" fontId="8" fillId="0" borderId="39" xfId="0" applyNumberFormat="1" applyFont="1" applyFill="1" applyBorder="1" applyAlignment="1">
      <alignment/>
    </xf>
    <xf numFmtId="1" fontId="4" fillId="0" borderId="3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38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4" fillId="0" borderId="3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8" xfId="0" applyFont="1" applyBorder="1" applyAlignment="1">
      <alignment/>
    </xf>
    <xf numFmtId="1" fontId="4" fillId="0" borderId="25" xfId="0" applyNumberFormat="1" applyFont="1" applyBorder="1" applyAlignment="1">
      <alignment/>
    </xf>
    <xf numFmtId="172" fontId="4" fillId="0" borderId="25" xfId="2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80" fontId="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" fontId="8" fillId="0" borderId="3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" fontId="18" fillId="0" borderId="27" xfId="0" applyNumberFormat="1" applyFont="1" applyFill="1" applyBorder="1" applyAlignment="1">
      <alignment/>
    </xf>
    <xf numFmtId="1" fontId="18" fillId="0" borderId="31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31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1" fontId="19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19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4" fillId="0" borderId="47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 CE"/>
                <a:ea typeface="Arial CE"/>
                <a:cs typeface="Arial CE"/>
              </a:rPr>
              <a:t>Město Blovice - rozpočtový výhled 2007-2012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25"/>
          <c:w val="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2008_12'!$B$56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2008_12'!$C$54:$H$54</c:f>
              <c:strCache/>
            </c:strRef>
          </c:cat>
          <c:val>
            <c:numRef>
              <c:f>'výhled 2008_12'!$C$56:$H$56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'výhled 2008_12'!$B$57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2008_12'!$C$54:$H$54</c:f>
              <c:strCache/>
            </c:strRef>
          </c:cat>
          <c:val>
            <c:numRef>
              <c:f>'výhled 2008_12'!$C$57:$H$57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2327567"/>
        <c:axId val="45403784"/>
      </c:bar3D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327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5"/>
          <c:y val="0.5125"/>
          <c:w val="0.28175"/>
          <c:h val="0.19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676275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48225"/>
        <a:ext cx="6229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A1:I1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6.875" style="0" customWidth="1"/>
    <col min="3" max="3" width="4.125" style="0" customWidth="1"/>
    <col min="4" max="4" width="30.50390625" style="0" customWidth="1"/>
    <col min="5" max="6" width="8.75390625" style="254" customWidth="1"/>
  </cols>
  <sheetData>
    <row r="1" spans="1:8" ht="18" thickBot="1">
      <c r="A1" s="1" t="s">
        <v>0</v>
      </c>
      <c r="B1" s="2"/>
      <c r="C1" s="2"/>
      <c r="D1" s="3"/>
      <c r="E1" s="276" t="s">
        <v>149</v>
      </c>
      <c r="F1" s="277"/>
      <c r="G1" s="280" t="s">
        <v>151</v>
      </c>
      <c r="H1" s="281"/>
    </row>
    <row r="2" spans="1:8" ht="13.5" thickBot="1">
      <c r="A2" s="4" t="s">
        <v>1</v>
      </c>
      <c r="B2" s="5" t="s">
        <v>2</v>
      </c>
      <c r="C2" s="5" t="s">
        <v>3</v>
      </c>
      <c r="D2" s="6" t="s">
        <v>4</v>
      </c>
      <c r="E2" s="7"/>
      <c r="F2" s="187" t="s">
        <v>5</v>
      </c>
      <c r="G2" s="7"/>
      <c r="H2" s="8" t="s">
        <v>5</v>
      </c>
    </row>
    <row r="3" spans="1:8" ht="12.75">
      <c r="A3" s="9" t="s">
        <v>6</v>
      </c>
      <c r="B3" s="10" t="s">
        <v>7</v>
      </c>
      <c r="C3" s="10">
        <v>1</v>
      </c>
      <c r="D3" s="11" t="s">
        <v>8</v>
      </c>
      <c r="E3" s="188">
        <f>12648.4+782</f>
        <v>13430.4</v>
      </c>
      <c r="F3" s="189"/>
      <c r="G3" s="269">
        <f>12648.4+266+840</f>
        <v>13754.4</v>
      </c>
      <c r="H3" s="78"/>
    </row>
    <row r="4" spans="1:8" ht="12.75">
      <c r="A4" s="12"/>
      <c r="B4" s="13"/>
      <c r="C4" s="13">
        <f>+C3+1</f>
        <v>2</v>
      </c>
      <c r="D4" s="14" t="s">
        <v>155</v>
      </c>
      <c r="E4" s="190">
        <f>882.64+430</f>
        <v>1312.6399999999999</v>
      </c>
      <c r="F4" s="191"/>
      <c r="G4" s="190">
        <f>882.64+430</f>
        <v>1312.6399999999999</v>
      </c>
      <c r="H4" s="79"/>
    </row>
    <row r="5" spans="1:8" ht="12.75">
      <c r="A5" s="12"/>
      <c r="B5" s="13"/>
      <c r="C5" s="13">
        <f>+C4+1</f>
        <v>3</v>
      </c>
      <c r="D5" s="14" t="s">
        <v>9</v>
      </c>
      <c r="E5" s="190">
        <f>14339+6200</f>
        <v>20539</v>
      </c>
      <c r="F5" s="192"/>
      <c r="G5" s="190">
        <f>14339+6200</f>
        <v>20539</v>
      </c>
      <c r="H5" s="80"/>
    </row>
    <row r="6" spans="1:8" ht="12.75">
      <c r="A6" s="15"/>
      <c r="B6" s="16"/>
      <c r="C6" s="13">
        <f>+C5+1</f>
        <v>4</v>
      </c>
      <c r="D6" s="17" t="s">
        <v>11</v>
      </c>
      <c r="E6" s="190">
        <v>378</v>
      </c>
      <c r="F6" s="192"/>
      <c r="G6" s="190">
        <v>378</v>
      </c>
      <c r="H6" s="80"/>
    </row>
    <row r="7" spans="1:8" ht="12.75">
      <c r="A7" s="15"/>
      <c r="B7" s="16"/>
      <c r="C7" s="13">
        <f>+C6+1</f>
        <v>5</v>
      </c>
      <c r="D7" s="17" t="s">
        <v>154</v>
      </c>
      <c r="E7" s="190"/>
      <c r="F7" s="192"/>
      <c r="G7" s="273">
        <v>400</v>
      </c>
      <c r="H7" s="80"/>
    </row>
    <row r="8" spans="1:8" ht="12.75">
      <c r="A8" s="15"/>
      <c r="B8" s="16"/>
      <c r="C8" s="13">
        <f>+C7+1</f>
        <v>6</v>
      </c>
      <c r="D8" s="17" t="s">
        <v>12</v>
      </c>
      <c r="E8" s="193">
        <v>0</v>
      </c>
      <c r="F8" s="192"/>
      <c r="G8" s="18">
        <f>20+100+104+65+97</f>
        <v>386</v>
      </c>
      <c r="H8" s="80"/>
    </row>
    <row r="9" spans="1:8" ht="13.5" thickBot="1">
      <c r="A9" s="19"/>
      <c r="B9" s="20"/>
      <c r="C9" s="20"/>
      <c r="D9" s="21" t="s">
        <v>5</v>
      </c>
      <c r="E9" s="194"/>
      <c r="F9" s="195">
        <f>SUM(E3:E8)</f>
        <v>35660.04</v>
      </c>
      <c r="G9" s="81"/>
      <c r="H9" s="68">
        <f>SUM(G3:G8)</f>
        <v>36770.04</v>
      </c>
    </row>
    <row r="10" spans="1:8" ht="12.75">
      <c r="A10" s="22" t="s">
        <v>13</v>
      </c>
      <c r="B10" s="23" t="s">
        <v>14</v>
      </c>
      <c r="C10" s="23">
        <v>1</v>
      </c>
      <c r="D10" s="24" t="s">
        <v>15</v>
      </c>
      <c r="E10" s="196">
        <v>1640</v>
      </c>
      <c r="F10" s="197"/>
      <c r="G10" s="196">
        <v>1640</v>
      </c>
      <c r="H10" s="82"/>
    </row>
    <row r="11" spans="1:8" ht="12.75">
      <c r="A11" s="12"/>
      <c r="B11" s="13"/>
      <c r="C11" s="13">
        <v>2</v>
      </c>
      <c r="D11" s="14" t="s">
        <v>16</v>
      </c>
      <c r="E11" s="190">
        <v>30600</v>
      </c>
      <c r="F11" s="192"/>
      <c r="G11" s="190">
        <v>30600</v>
      </c>
      <c r="H11" s="80"/>
    </row>
    <row r="12" spans="1:8" ht="12.75">
      <c r="A12" s="12"/>
      <c r="B12" s="13"/>
      <c r="C12" s="13">
        <v>3</v>
      </c>
      <c r="D12" s="14" t="s">
        <v>17</v>
      </c>
      <c r="E12" s="193">
        <v>2000</v>
      </c>
      <c r="F12" s="192"/>
      <c r="G12" s="18">
        <v>2218</v>
      </c>
      <c r="H12" s="80"/>
    </row>
    <row r="13" spans="1:8" ht="13.5" thickBot="1">
      <c r="A13" s="19"/>
      <c r="B13" s="20"/>
      <c r="C13" s="20"/>
      <c r="D13" s="21" t="s">
        <v>18</v>
      </c>
      <c r="E13" s="194"/>
      <c r="F13" s="195">
        <f>SUM(E10:E12)</f>
        <v>34240</v>
      </c>
      <c r="G13" s="194"/>
      <c r="H13" s="68">
        <f>SUM(G10:G12)</f>
        <v>34458</v>
      </c>
    </row>
    <row r="14" spans="1:8" ht="12.75">
      <c r="A14" s="12" t="s">
        <v>19</v>
      </c>
      <c r="B14" s="23" t="s">
        <v>20</v>
      </c>
      <c r="C14" s="13">
        <v>1</v>
      </c>
      <c r="D14" s="14" t="s">
        <v>21</v>
      </c>
      <c r="E14" s="193">
        <v>128</v>
      </c>
      <c r="F14" s="192"/>
      <c r="G14" s="193">
        <v>128</v>
      </c>
      <c r="H14" s="80"/>
    </row>
    <row r="15" spans="1:8" ht="12.75">
      <c r="A15" s="12"/>
      <c r="B15" s="13"/>
      <c r="C15" s="13">
        <f aca="true" t="shared" si="0" ref="C15:C23">+C14+1</f>
        <v>2</v>
      </c>
      <c r="D15" s="14" t="s">
        <v>22</v>
      </c>
      <c r="E15" s="193">
        <v>2050</v>
      </c>
      <c r="F15" s="192"/>
      <c r="G15" s="193">
        <v>2050</v>
      </c>
      <c r="H15" s="80"/>
    </row>
    <row r="16" spans="1:8" ht="12.75">
      <c r="A16" s="12"/>
      <c r="B16" s="13"/>
      <c r="C16" s="13">
        <f t="shared" si="0"/>
        <v>3</v>
      </c>
      <c r="D16" s="14" t="s">
        <v>23</v>
      </c>
      <c r="E16" s="193">
        <v>880</v>
      </c>
      <c r="F16" s="192"/>
      <c r="G16" s="193">
        <v>880</v>
      </c>
      <c r="H16" s="80"/>
    </row>
    <row r="17" spans="1:8" ht="12.75">
      <c r="A17" s="12"/>
      <c r="B17" s="13"/>
      <c r="C17" s="13">
        <f t="shared" si="0"/>
        <v>4</v>
      </c>
      <c r="D17" s="14" t="s">
        <v>24</v>
      </c>
      <c r="E17" s="193">
        <v>100</v>
      </c>
      <c r="F17" s="192"/>
      <c r="G17" s="193">
        <v>100</v>
      </c>
      <c r="H17" s="80"/>
    </row>
    <row r="18" spans="1:8" ht="12.75">
      <c r="A18" s="12"/>
      <c r="B18" s="13"/>
      <c r="C18" s="13">
        <f t="shared" si="0"/>
        <v>5</v>
      </c>
      <c r="D18" s="14" t="s">
        <v>25</v>
      </c>
      <c r="E18" s="193">
        <v>250</v>
      </c>
      <c r="F18" s="192"/>
      <c r="G18" s="193">
        <v>250</v>
      </c>
      <c r="H18" s="80"/>
    </row>
    <row r="19" spans="1:8" ht="12.75">
      <c r="A19" s="12"/>
      <c r="B19" s="13" t="s">
        <v>26</v>
      </c>
      <c r="C19" s="13">
        <f t="shared" si="0"/>
        <v>6</v>
      </c>
      <c r="D19" s="14" t="s">
        <v>27</v>
      </c>
      <c r="E19" s="193">
        <v>107</v>
      </c>
      <c r="F19" s="192"/>
      <c r="G19" s="193">
        <v>107</v>
      </c>
      <c r="H19" s="80"/>
    </row>
    <row r="20" spans="1:8" ht="12.75">
      <c r="A20" s="12"/>
      <c r="B20" s="13"/>
      <c r="C20" s="13">
        <f t="shared" si="0"/>
        <v>7</v>
      </c>
      <c r="D20" s="14" t="s">
        <v>28</v>
      </c>
      <c r="E20" s="193">
        <v>220</v>
      </c>
      <c r="F20" s="192"/>
      <c r="G20" s="193">
        <v>220</v>
      </c>
      <c r="H20" s="80"/>
    </row>
    <row r="21" spans="1:8" ht="12.75">
      <c r="A21" s="12"/>
      <c r="B21" s="13"/>
      <c r="C21" s="13">
        <f t="shared" si="0"/>
        <v>8</v>
      </c>
      <c r="D21" s="14" t="s">
        <v>29</v>
      </c>
      <c r="E21" s="193">
        <v>70</v>
      </c>
      <c r="F21" s="192"/>
      <c r="G21" s="193">
        <v>70</v>
      </c>
      <c r="H21" s="80"/>
    </row>
    <row r="22" spans="1:8" ht="12.75">
      <c r="A22" s="15"/>
      <c r="B22" s="16"/>
      <c r="C22" s="13">
        <f t="shared" si="0"/>
        <v>9</v>
      </c>
      <c r="D22" s="17" t="s">
        <v>30</v>
      </c>
      <c r="E22" s="198">
        <v>2070</v>
      </c>
      <c r="F22" s="199"/>
      <c r="G22" s="198">
        <v>2070</v>
      </c>
      <c r="H22" s="83"/>
    </row>
    <row r="23" spans="1:8" ht="12.75">
      <c r="A23" s="15"/>
      <c r="B23" s="16" t="s">
        <v>152</v>
      </c>
      <c r="C23" s="13">
        <f t="shared" si="0"/>
        <v>10</v>
      </c>
      <c r="D23" s="17" t="s">
        <v>153</v>
      </c>
      <c r="E23" s="198"/>
      <c r="F23" s="199"/>
      <c r="G23" s="271">
        <v>180</v>
      </c>
      <c r="H23" s="83"/>
    </row>
    <row r="24" spans="1:8" ht="13.5" thickBot="1">
      <c r="A24" s="19"/>
      <c r="B24" s="20"/>
      <c r="C24" s="20"/>
      <c r="D24" s="21" t="s">
        <v>18</v>
      </c>
      <c r="E24" s="194"/>
      <c r="F24" s="200">
        <f>SUM(E14:E22)</f>
        <v>5875</v>
      </c>
      <c r="G24" s="194"/>
      <c r="H24" s="84">
        <f>SUM(G14:G23)</f>
        <v>6055</v>
      </c>
    </row>
    <row r="25" spans="1:8" ht="12.75">
      <c r="A25" s="9" t="s">
        <v>31</v>
      </c>
      <c r="B25" s="10" t="s">
        <v>32</v>
      </c>
      <c r="C25" s="10">
        <v>1</v>
      </c>
      <c r="D25" s="11" t="s">
        <v>33</v>
      </c>
      <c r="E25" s="201">
        <v>500</v>
      </c>
      <c r="F25" s="189"/>
      <c r="G25" s="201">
        <v>500</v>
      </c>
      <c r="H25" s="78"/>
    </row>
    <row r="26" spans="1:8" ht="12.75">
      <c r="A26" s="15"/>
      <c r="B26" s="16"/>
      <c r="C26" s="23">
        <v>5</v>
      </c>
      <c r="D26" s="17" t="s">
        <v>107</v>
      </c>
      <c r="E26" s="198">
        <v>50</v>
      </c>
      <c r="F26" s="199"/>
      <c r="G26" s="198">
        <v>50</v>
      </c>
      <c r="H26" s="83"/>
    </row>
    <row r="27" spans="1:8" ht="13.5" thickBot="1">
      <c r="A27" s="19"/>
      <c r="B27" s="20"/>
      <c r="C27" s="20"/>
      <c r="D27" s="21" t="s">
        <v>18</v>
      </c>
      <c r="E27" s="194"/>
      <c r="F27" s="200">
        <f>SUM(E25:E26)</f>
        <v>550</v>
      </c>
      <c r="G27" s="194"/>
      <c r="H27" s="84">
        <f>SUM(G25:G26)</f>
        <v>550</v>
      </c>
    </row>
    <row r="28" spans="1:8" ht="12.75">
      <c r="A28" s="9" t="s">
        <v>34</v>
      </c>
      <c r="B28" s="25" t="s">
        <v>35</v>
      </c>
      <c r="C28" s="25">
        <v>1</v>
      </c>
      <c r="D28" s="11" t="s">
        <v>36</v>
      </c>
      <c r="E28" s="201">
        <v>121</v>
      </c>
      <c r="F28" s="189"/>
      <c r="G28" s="201">
        <v>121</v>
      </c>
      <c r="H28" s="78"/>
    </row>
    <row r="29" spans="1:8" ht="12.75">
      <c r="A29" s="22"/>
      <c r="B29" s="26"/>
      <c r="C29" s="26">
        <v>2</v>
      </c>
      <c r="D29" s="24" t="s">
        <v>37</v>
      </c>
      <c r="E29" s="196">
        <v>270</v>
      </c>
      <c r="F29" s="197"/>
      <c r="G29" s="196">
        <v>270</v>
      </c>
      <c r="H29" s="82"/>
    </row>
    <row r="30" spans="1:8" ht="12.75">
      <c r="A30" s="12"/>
      <c r="B30" s="27"/>
      <c r="C30" s="27">
        <v>3</v>
      </c>
      <c r="D30" s="14" t="s">
        <v>114</v>
      </c>
      <c r="E30" s="193">
        <v>372</v>
      </c>
      <c r="F30" s="192"/>
      <c r="G30" s="193">
        <v>372</v>
      </c>
      <c r="H30" s="80"/>
    </row>
    <row r="31" spans="1:8" ht="13.5" thickBot="1">
      <c r="A31" s="19"/>
      <c r="B31" s="28"/>
      <c r="C31" s="28"/>
      <c r="D31" s="21" t="s">
        <v>18</v>
      </c>
      <c r="E31" s="194"/>
      <c r="F31" s="200">
        <f>SUM(E28:E30)</f>
        <v>763</v>
      </c>
      <c r="G31" s="194"/>
      <c r="H31" s="84">
        <f>SUM(G28:G30)</f>
        <v>763</v>
      </c>
    </row>
    <row r="32" spans="1:8" ht="13.5" thickBot="1">
      <c r="A32" s="29" t="s">
        <v>38</v>
      </c>
      <c r="B32" s="30" t="s">
        <v>39</v>
      </c>
      <c r="C32" s="30"/>
      <c r="D32" s="31"/>
      <c r="E32" s="202">
        <v>1600</v>
      </c>
      <c r="F32" s="203">
        <f>SUM(E32)</f>
        <v>1600</v>
      </c>
      <c r="G32" s="202">
        <v>1600</v>
      </c>
      <c r="H32" s="74">
        <f>SUM(G32)</f>
        <v>1600</v>
      </c>
    </row>
    <row r="33" spans="1:8" ht="13.5" thickBot="1">
      <c r="A33" s="32" t="s">
        <v>40</v>
      </c>
      <c r="B33" s="33" t="s">
        <v>41</v>
      </c>
      <c r="C33" s="33"/>
      <c r="D33" s="34"/>
      <c r="E33" s="204">
        <v>500</v>
      </c>
      <c r="F33" s="203">
        <f>SUM(E33)</f>
        <v>500</v>
      </c>
      <c r="G33" s="204">
        <v>500</v>
      </c>
      <c r="H33" s="74">
        <f>SUM(G33)</f>
        <v>500</v>
      </c>
    </row>
    <row r="34" spans="1:8" ht="12.75">
      <c r="A34" s="9" t="s">
        <v>42</v>
      </c>
      <c r="B34" s="25" t="s">
        <v>43</v>
      </c>
      <c r="C34" s="25">
        <v>1</v>
      </c>
      <c r="D34" s="11" t="s">
        <v>44</v>
      </c>
      <c r="E34" s="201">
        <f>25+10</f>
        <v>35</v>
      </c>
      <c r="F34" s="189"/>
      <c r="G34" s="201">
        <f>25+10</f>
        <v>35</v>
      </c>
      <c r="H34" s="78"/>
    </row>
    <row r="35" spans="1:8" ht="12.75">
      <c r="A35" s="22"/>
      <c r="B35" s="26"/>
      <c r="C35" s="26">
        <f>+C34+1</f>
        <v>2</v>
      </c>
      <c r="D35" s="24" t="s">
        <v>45</v>
      </c>
      <c r="E35" s="196">
        <v>525</v>
      </c>
      <c r="F35" s="197"/>
      <c r="G35" s="196">
        <v>525</v>
      </c>
      <c r="H35" s="82"/>
    </row>
    <row r="36" spans="1:8" ht="12.75">
      <c r="A36" s="22"/>
      <c r="B36" s="26"/>
      <c r="C36" s="26">
        <f>+C35+1</f>
        <v>3</v>
      </c>
      <c r="D36" s="24" t="s">
        <v>46</v>
      </c>
      <c r="E36" s="196">
        <v>1155</v>
      </c>
      <c r="F36" s="197"/>
      <c r="G36" s="268">
        <v>1342</v>
      </c>
      <c r="H36" s="82"/>
    </row>
    <row r="37" spans="1:8" ht="12.75">
      <c r="A37" s="22"/>
      <c r="B37" s="26"/>
      <c r="C37" s="26">
        <f>+C36+1</f>
        <v>4</v>
      </c>
      <c r="D37" s="24" t="s">
        <v>47</v>
      </c>
      <c r="E37" s="196">
        <v>650</v>
      </c>
      <c r="F37" s="197"/>
      <c r="G37" s="196">
        <v>650</v>
      </c>
      <c r="H37" s="82"/>
    </row>
    <row r="38" spans="1:8" ht="12.75">
      <c r="A38" s="22"/>
      <c r="B38" s="26"/>
      <c r="C38" s="26">
        <f>+C37+1</f>
        <v>5</v>
      </c>
      <c r="D38" s="24" t="s">
        <v>48</v>
      </c>
      <c r="E38" s="196">
        <v>590</v>
      </c>
      <c r="F38" s="197"/>
      <c r="G38" s="196">
        <v>590</v>
      </c>
      <c r="H38" s="82"/>
    </row>
    <row r="39" spans="1:8" ht="12.75">
      <c r="A39" s="12"/>
      <c r="B39" s="27"/>
      <c r="C39" s="26">
        <f>+C38+1</f>
        <v>6</v>
      </c>
      <c r="D39" s="14" t="s">
        <v>49</v>
      </c>
      <c r="E39" s="193">
        <v>750</v>
      </c>
      <c r="F39" s="192"/>
      <c r="G39" s="18">
        <f>750-180</f>
        <v>570</v>
      </c>
      <c r="H39" s="80"/>
    </row>
    <row r="40" spans="1:8" ht="13.5" thickBot="1">
      <c r="A40" s="19"/>
      <c r="B40" s="28"/>
      <c r="C40" s="28"/>
      <c r="D40" s="21" t="s">
        <v>18</v>
      </c>
      <c r="E40" s="194"/>
      <c r="F40" s="200">
        <f>SUM(E34:E39)</f>
        <v>3705</v>
      </c>
      <c r="G40" s="194"/>
      <c r="H40" s="84">
        <f>SUM(G34:G39)</f>
        <v>3712</v>
      </c>
    </row>
    <row r="41" spans="1:8" ht="13.5" thickBot="1">
      <c r="A41" s="35" t="s">
        <v>50</v>
      </c>
      <c r="B41" s="30" t="s">
        <v>51</v>
      </c>
      <c r="C41" s="30"/>
      <c r="D41" s="31"/>
      <c r="E41" s="205">
        <v>563</v>
      </c>
      <c r="F41" s="203">
        <f>SUM(E41)</f>
        <v>563</v>
      </c>
      <c r="G41" s="205">
        <v>563</v>
      </c>
      <c r="H41" s="74">
        <f>SUM(G41)</f>
        <v>563</v>
      </c>
    </row>
    <row r="42" spans="1:8" ht="12.75">
      <c r="A42" s="36"/>
      <c r="B42" s="25" t="s">
        <v>52</v>
      </c>
      <c r="C42" s="25"/>
      <c r="D42" s="11"/>
      <c r="E42" s="201"/>
      <c r="F42" s="206">
        <f>SUM(F3:F41)</f>
        <v>83456.04000000001</v>
      </c>
      <c r="G42" s="85"/>
      <c r="H42" s="86">
        <f>SUM(H3:H41)</f>
        <v>84971.04000000001</v>
      </c>
    </row>
    <row r="43" spans="1:8" ht="13.5" thickBot="1">
      <c r="A43" s="37"/>
      <c r="B43" s="28" t="s">
        <v>53</v>
      </c>
      <c r="C43" s="28"/>
      <c r="D43" s="21"/>
      <c r="E43" s="194"/>
      <c r="F43" s="207">
        <f>+F42-562</f>
        <v>82894.04000000001</v>
      </c>
      <c r="G43" s="81"/>
      <c r="H43" s="87">
        <f>+H42-562</f>
        <v>84409.04000000001</v>
      </c>
    </row>
    <row r="44" spans="1:8" ht="18" thickBot="1">
      <c r="A44" s="1" t="s">
        <v>54</v>
      </c>
      <c r="B44" s="38"/>
      <c r="C44" s="38"/>
      <c r="D44" s="38"/>
      <c r="E44" s="278" t="s">
        <v>149</v>
      </c>
      <c r="F44" s="279"/>
      <c r="G44" s="280" t="s">
        <v>151</v>
      </c>
      <c r="H44" s="281"/>
    </row>
    <row r="45" spans="1:8" ht="13.5" thickBot="1">
      <c r="A45" s="39" t="s">
        <v>1</v>
      </c>
      <c r="B45" s="40" t="s">
        <v>2</v>
      </c>
      <c r="C45" s="40" t="s">
        <v>3</v>
      </c>
      <c r="D45" s="41" t="s">
        <v>4</v>
      </c>
      <c r="E45" s="208"/>
      <c r="F45" s="209" t="s">
        <v>5</v>
      </c>
      <c r="G45" s="88"/>
      <c r="H45" s="89" t="s">
        <v>5</v>
      </c>
    </row>
    <row r="46" spans="1:8" ht="12.75">
      <c r="A46" s="9" t="s">
        <v>6</v>
      </c>
      <c r="B46" s="25" t="s">
        <v>55</v>
      </c>
      <c r="C46" s="25">
        <v>1</v>
      </c>
      <c r="D46" s="11" t="s">
        <v>109</v>
      </c>
      <c r="E46" s="210">
        <v>2500</v>
      </c>
      <c r="F46" s="211"/>
      <c r="G46" s="255">
        <v>2500</v>
      </c>
      <c r="H46" s="90"/>
    </row>
    <row r="47" spans="1:8" ht="12.75">
      <c r="A47" s="22"/>
      <c r="B47" s="26"/>
      <c r="C47" s="26">
        <v>2</v>
      </c>
      <c r="D47" s="24" t="s">
        <v>56</v>
      </c>
      <c r="E47" s="212">
        <v>500</v>
      </c>
      <c r="F47" s="213"/>
      <c r="G47" s="256">
        <v>500</v>
      </c>
      <c r="H47" s="91"/>
    </row>
    <row r="48" spans="1:8" ht="12.75">
      <c r="A48" s="12"/>
      <c r="B48" s="27"/>
      <c r="C48" s="26">
        <f aca="true" t="shared" si="1" ref="C48:C53">+C47+1</f>
        <v>3</v>
      </c>
      <c r="D48" s="14" t="s">
        <v>57</v>
      </c>
      <c r="E48" s="212">
        <v>640</v>
      </c>
      <c r="F48" s="213"/>
      <c r="G48" s="256">
        <v>640</v>
      </c>
      <c r="H48" s="91"/>
    </row>
    <row r="49" spans="1:8" ht="12.75">
      <c r="A49" s="12"/>
      <c r="B49" s="27"/>
      <c r="C49" s="26">
        <f t="shared" si="1"/>
        <v>4</v>
      </c>
      <c r="D49" s="14" t="s">
        <v>108</v>
      </c>
      <c r="E49" s="212">
        <v>20</v>
      </c>
      <c r="F49" s="213"/>
      <c r="G49" s="256">
        <v>20</v>
      </c>
      <c r="H49" s="91"/>
    </row>
    <row r="50" spans="1:8" ht="12.75">
      <c r="A50" s="12"/>
      <c r="B50" s="27"/>
      <c r="C50" s="26">
        <f t="shared" si="1"/>
        <v>5</v>
      </c>
      <c r="D50" s="14" t="s">
        <v>58</v>
      </c>
      <c r="E50" s="212">
        <v>355</v>
      </c>
      <c r="F50" s="213"/>
      <c r="G50" s="256">
        <v>355</v>
      </c>
      <c r="H50" s="91"/>
    </row>
    <row r="51" spans="1:8" ht="12.75">
      <c r="A51" s="12"/>
      <c r="B51" s="27"/>
      <c r="C51" s="26">
        <f t="shared" si="1"/>
        <v>6</v>
      </c>
      <c r="D51" s="14" t="s">
        <v>59</v>
      </c>
      <c r="E51" s="212">
        <v>325</v>
      </c>
      <c r="F51" s="213"/>
      <c r="G51" s="256">
        <v>325</v>
      </c>
      <c r="H51" s="91"/>
    </row>
    <row r="52" spans="1:8" ht="12.75">
      <c r="A52" s="12"/>
      <c r="B52" s="27"/>
      <c r="C52" s="26">
        <f t="shared" si="1"/>
        <v>7</v>
      </c>
      <c r="D52" s="14" t="s">
        <v>60</v>
      </c>
      <c r="E52" s="212">
        <v>1000</v>
      </c>
      <c r="F52" s="213"/>
      <c r="G52" s="256">
        <v>1000</v>
      </c>
      <c r="H52" s="91"/>
    </row>
    <row r="53" spans="1:8" ht="12.75">
      <c r="A53" s="15"/>
      <c r="B53" s="44"/>
      <c r="C53" s="26">
        <f t="shared" si="1"/>
        <v>8</v>
      </c>
      <c r="D53" s="17" t="s">
        <v>61</v>
      </c>
      <c r="E53" s="212">
        <v>180</v>
      </c>
      <c r="F53" s="213"/>
      <c r="G53" s="256">
        <v>180</v>
      </c>
      <c r="H53" s="91"/>
    </row>
    <row r="54" spans="1:8" ht="13.5" thickBot="1">
      <c r="A54" s="15"/>
      <c r="B54" s="44"/>
      <c r="C54" s="44"/>
      <c r="D54" s="17" t="s">
        <v>18</v>
      </c>
      <c r="E54" s="214"/>
      <c r="F54" s="215">
        <f>SUM(E46:E53)</f>
        <v>5520</v>
      </c>
      <c r="G54" s="257"/>
      <c r="H54" s="92">
        <f>SUM(G46:G53)</f>
        <v>5520</v>
      </c>
    </row>
    <row r="55" spans="1:8" ht="12.75">
      <c r="A55" s="9" t="s">
        <v>13</v>
      </c>
      <c r="B55" s="25" t="s">
        <v>62</v>
      </c>
      <c r="C55" s="25">
        <v>1</v>
      </c>
      <c r="D55" s="11" t="s">
        <v>63</v>
      </c>
      <c r="E55" s="210">
        <v>27000</v>
      </c>
      <c r="F55" s="216"/>
      <c r="G55" s="255">
        <v>27000</v>
      </c>
      <c r="H55" s="93"/>
    </row>
    <row r="56" spans="1:8" ht="12.75">
      <c r="A56" s="12"/>
      <c r="B56" s="27"/>
      <c r="C56" s="27">
        <v>2</v>
      </c>
      <c r="D56" s="14" t="s">
        <v>64</v>
      </c>
      <c r="E56" s="212">
        <v>880</v>
      </c>
      <c r="F56" s="70"/>
      <c r="G56" s="256">
        <v>880</v>
      </c>
      <c r="H56" s="94"/>
    </row>
    <row r="57" spans="1:8" ht="13.5" thickBot="1">
      <c r="A57" s="19"/>
      <c r="B57" s="28"/>
      <c r="C57" s="28"/>
      <c r="D57" s="21" t="s">
        <v>5</v>
      </c>
      <c r="E57" s="217"/>
      <c r="F57" s="71">
        <f>SUM(E55:E56)</f>
        <v>27880</v>
      </c>
      <c r="G57" s="258"/>
      <c r="H57" s="96">
        <f>SUM(G55:G56)</f>
        <v>27880</v>
      </c>
    </row>
    <row r="58" spans="1:8" ht="12.75">
      <c r="A58" s="22" t="s">
        <v>19</v>
      </c>
      <c r="B58" s="26" t="s">
        <v>65</v>
      </c>
      <c r="C58" s="26">
        <v>1</v>
      </c>
      <c r="D58" s="24" t="s">
        <v>66</v>
      </c>
      <c r="E58" s="210">
        <f>785+50</f>
        <v>835</v>
      </c>
      <c r="F58" s="211"/>
      <c r="G58" s="255">
        <f>785+50</f>
        <v>835</v>
      </c>
      <c r="H58" s="90"/>
    </row>
    <row r="59" spans="1:8" ht="12.75">
      <c r="A59" s="22"/>
      <c r="B59" s="26"/>
      <c r="C59" s="26">
        <v>2</v>
      </c>
      <c r="D59" s="24" t="s">
        <v>67</v>
      </c>
      <c r="E59" s="218">
        <v>100</v>
      </c>
      <c r="F59" s="219"/>
      <c r="G59" s="259">
        <v>100</v>
      </c>
      <c r="H59" s="97"/>
    </row>
    <row r="60" spans="1:8" ht="12.75">
      <c r="A60" s="12"/>
      <c r="B60" s="27"/>
      <c r="C60" s="27">
        <v>3</v>
      </c>
      <c r="D60" s="14" t="s">
        <v>11</v>
      </c>
      <c r="E60" s="212">
        <f>612+378</f>
        <v>990</v>
      </c>
      <c r="F60" s="213"/>
      <c r="G60" s="256">
        <f>612+378</f>
        <v>990</v>
      </c>
      <c r="H60" s="91"/>
    </row>
    <row r="61" spans="1:8" ht="12.75">
      <c r="A61" s="12"/>
      <c r="B61" s="27"/>
      <c r="C61" s="27">
        <v>4</v>
      </c>
      <c r="D61" s="14" t="s">
        <v>68</v>
      </c>
      <c r="E61" s="212">
        <v>315</v>
      </c>
      <c r="F61" s="213"/>
      <c r="G61" s="256">
        <v>315</v>
      </c>
      <c r="H61" s="91"/>
    </row>
    <row r="62" spans="1:8" ht="12.75">
      <c r="A62" s="12"/>
      <c r="B62" s="27"/>
      <c r="C62" s="27">
        <v>5</v>
      </c>
      <c r="D62" s="14" t="s">
        <v>69</v>
      </c>
      <c r="E62" s="220">
        <f>125+35+65+30</f>
        <v>255</v>
      </c>
      <c r="F62" s="213"/>
      <c r="G62" s="260">
        <f>125+35+65+30</f>
        <v>255</v>
      </c>
      <c r="H62" s="91"/>
    </row>
    <row r="63" spans="1:8" ht="13.5" thickBot="1">
      <c r="A63" s="15"/>
      <c r="B63" s="44"/>
      <c r="C63" s="44"/>
      <c r="D63" s="17" t="s">
        <v>18</v>
      </c>
      <c r="E63" s="221"/>
      <c r="F63" s="222">
        <f>SUM(E58:E62)</f>
        <v>2495</v>
      </c>
      <c r="G63" s="261"/>
      <c r="H63" s="98">
        <f>SUM(G58:G62)</f>
        <v>2495</v>
      </c>
    </row>
    <row r="64" spans="1:8" ht="12.75">
      <c r="A64" s="9" t="s">
        <v>31</v>
      </c>
      <c r="B64" s="33" t="s">
        <v>70</v>
      </c>
      <c r="C64" s="25">
        <v>1</v>
      </c>
      <c r="D64" s="11" t="s">
        <v>71</v>
      </c>
      <c r="E64" s="223">
        <v>150</v>
      </c>
      <c r="F64" s="211"/>
      <c r="G64" s="262">
        <v>150</v>
      </c>
      <c r="H64" s="90"/>
    </row>
    <row r="65" spans="1:8" ht="12.75">
      <c r="A65" s="15"/>
      <c r="B65" s="44"/>
      <c r="C65" s="26">
        <f aca="true" t="shared" si="2" ref="C65:C71">+C64+1</f>
        <v>2</v>
      </c>
      <c r="D65" s="14" t="s">
        <v>105</v>
      </c>
      <c r="E65" s="220">
        <v>500</v>
      </c>
      <c r="F65" s="213"/>
      <c r="G65" s="45">
        <v>1500</v>
      </c>
      <c r="H65" s="91"/>
    </row>
    <row r="66" spans="1:8" ht="12.75">
      <c r="A66" s="15"/>
      <c r="B66" s="44"/>
      <c r="C66" s="26">
        <f t="shared" si="2"/>
        <v>3</v>
      </c>
      <c r="D66" s="14" t="s">
        <v>111</v>
      </c>
      <c r="E66" s="220">
        <f>210+450+100+75</f>
        <v>835</v>
      </c>
      <c r="F66" s="213"/>
      <c r="G66" s="45">
        <f>210+445+100+54</f>
        <v>809</v>
      </c>
      <c r="H66" s="91"/>
    </row>
    <row r="67" spans="1:8" ht="12.75">
      <c r="A67" s="15"/>
      <c r="B67" s="44"/>
      <c r="C67" s="26">
        <f t="shared" si="2"/>
        <v>4</v>
      </c>
      <c r="D67" s="14" t="s">
        <v>110</v>
      </c>
      <c r="E67" s="220">
        <v>700</v>
      </c>
      <c r="F67" s="224"/>
      <c r="G67" s="45">
        <v>571</v>
      </c>
      <c r="H67" s="99"/>
    </row>
    <row r="68" spans="1:8" ht="12.75">
      <c r="A68" s="15"/>
      <c r="B68" s="44"/>
      <c r="C68" s="26">
        <f t="shared" si="2"/>
        <v>5</v>
      </c>
      <c r="D68" s="14" t="s">
        <v>150</v>
      </c>
      <c r="E68" s="220">
        <v>1200</v>
      </c>
      <c r="F68" s="224"/>
      <c r="G68" s="260">
        <v>1200</v>
      </c>
      <c r="H68" s="185"/>
    </row>
    <row r="69" spans="1:8" ht="12.75">
      <c r="A69" s="15"/>
      <c r="B69" s="44"/>
      <c r="C69" s="26">
        <f t="shared" si="2"/>
        <v>6</v>
      </c>
      <c r="D69" s="14" t="s">
        <v>116</v>
      </c>
      <c r="E69" s="220">
        <v>1000</v>
      </c>
      <c r="F69" s="224"/>
      <c r="G69" s="260">
        <v>1000</v>
      </c>
      <c r="H69" s="185"/>
    </row>
    <row r="70" spans="1:8" ht="12.75">
      <c r="A70" s="15"/>
      <c r="B70" s="44"/>
      <c r="C70" s="26">
        <f t="shared" si="2"/>
        <v>7</v>
      </c>
      <c r="D70" s="14" t="s">
        <v>113</v>
      </c>
      <c r="E70" s="220">
        <v>500</v>
      </c>
      <c r="F70" s="224"/>
      <c r="G70" s="45">
        <v>600</v>
      </c>
      <c r="H70" s="185"/>
    </row>
    <row r="71" spans="1:8" ht="12.75">
      <c r="A71" s="15"/>
      <c r="B71" s="44"/>
      <c r="C71" s="26">
        <f t="shared" si="2"/>
        <v>8</v>
      </c>
      <c r="D71" s="14" t="s">
        <v>72</v>
      </c>
      <c r="E71" s="220">
        <v>200</v>
      </c>
      <c r="F71" s="225"/>
      <c r="G71" s="45">
        <v>400</v>
      </c>
      <c r="H71" s="186"/>
    </row>
    <row r="72" spans="1:8" ht="13.5" thickBot="1">
      <c r="A72" s="19"/>
      <c r="B72" s="28"/>
      <c r="C72" s="46"/>
      <c r="D72" s="47" t="s">
        <v>18</v>
      </c>
      <c r="E72" s="214"/>
      <c r="F72" s="226">
        <f>SUM(E64:E71)</f>
        <v>5085</v>
      </c>
      <c r="G72" s="257"/>
      <c r="H72" s="100">
        <f>SUM(G64:G71)</f>
        <v>6230</v>
      </c>
    </row>
    <row r="73" spans="1:8" ht="12.75">
      <c r="A73" s="9" t="s">
        <v>34</v>
      </c>
      <c r="B73" s="25" t="s">
        <v>73</v>
      </c>
      <c r="C73" s="25">
        <v>1</v>
      </c>
      <c r="D73" s="49" t="s">
        <v>74</v>
      </c>
      <c r="E73" s="227">
        <f>11+9+10+50</f>
        <v>80</v>
      </c>
      <c r="F73" s="219"/>
      <c r="G73" s="101">
        <v>280</v>
      </c>
      <c r="H73" s="97"/>
    </row>
    <row r="74" spans="1:8" ht="12.75">
      <c r="A74" s="12"/>
      <c r="B74" s="27"/>
      <c r="C74" s="27">
        <f aca="true" t="shared" si="3" ref="C74:C80">+C73+1</f>
        <v>2</v>
      </c>
      <c r="D74" s="14" t="s">
        <v>75</v>
      </c>
      <c r="E74" s="220">
        <f>150+100</f>
        <v>250</v>
      </c>
      <c r="F74" s="213"/>
      <c r="G74" s="260">
        <f>150+100</f>
        <v>250</v>
      </c>
      <c r="H74" s="91"/>
    </row>
    <row r="75" spans="1:8" ht="12.75">
      <c r="A75" s="12"/>
      <c r="B75" s="27"/>
      <c r="C75" s="27">
        <f t="shared" si="3"/>
        <v>3</v>
      </c>
      <c r="D75" s="14" t="s">
        <v>76</v>
      </c>
      <c r="E75" s="220">
        <v>170</v>
      </c>
      <c r="F75" s="213"/>
      <c r="G75" s="260">
        <v>170</v>
      </c>
      <c r="H75" s="91"/>
    </row>
    <row r="76" spans="1:8" ht="12.75">
      <c r="A76" s="12"/>
      <c r="B76" s="27"/>
      <c r="C76" s="27">
        <f t="shared" si="3"/>
        <v>4</v>
      </c>
      <c r="D76" s="14" t="s">
        <v>112</v>
      </c>
      <c r="E76" s="220">
        <f>260+240+250</f>
        <v>750</v>
      </c>
      <c r="F76" s="213"/>
      <c r="G76" s="260">
        <f>260+240+250</f>
        <v>750</v>
      </c>
      <c r="H76" s="91"/>
    </row>
    <row r="77" spans="1:8" ht="12.75">
      <c r="A77" s="12"/>
      <c r="B77" s="27"/>
      <c r="C77" s="27">
        <f t="shared" si="3"/>
        <v>5</v>
      </c>
      <c r="D77" s="14" t="s">
        <v>77</v>
      </c>
      <c r="E77" s="220">
        <v>3900</v>
      </c>
      <c r="F77" s="213"/>
      <c r="G77" s="260">
        <v>3900</v>
      </c>
      <c r="H77" s="91"/>
    </row>
    <row r="78" spans="1:8" ht="12.75">
      <c r="A78" s="12"/>
      <c r="B78" s="27"/>
      <c r="C78" s="27">
        <f t="shared" si="3"/>
        <v>6</v>
      </c>
      <c r="D78" s="14" t="s">
        <v>78</v>
      </c>
      <c r="E78" s="220">
        <v>1900</v>
      </c>
      <c r="F78" s="213"/>
      <c r="G78" s="260">
        <v>1900</v>
      </c>
      <c r="H78" s="91"/>
    </row>
    <row r="79" spans="1:8" ht="12.75">
      <c r="A79" s="12"/>
      <c r="B79" s="27"/>
      <c r="C79" s="27">
        <f t="shared" si="3"/>
        <v>7</v>
      </c>
      <c r="D79" s="14" t="s">
        <v>79</v>
      </c>
      <c r="E79" s="220">
        <v>1100</v>
      </c>
      <c r="F79" s="213"/>
      <c r="G79" s="260">
        <v>1100</v>
      </c>
      <c r="H79" s="91"/>
    </row>
    <row r="80" spans="1:8" ht="12.75">
      <c r="A80" s="12"/>
      <c r="B80" s="27"/>
      <c r="C80" s="27">
        <f t="shared" si="3"/>
        <v>8</v>
      </c>
      <c r="D80" s="14" t="s">
        <v>80</v>
      </c>
      <c r="E80" s="212">
        <v>725</v>
      </c>
      <c r="F80" s="213"/>
      <c r="G80" s="256">
        <v>725</v>
      </c>
      <c r="H80" s="91"/>
    </row>
    <row r="81" spans="1:8" ht="13.5" thickBot="1">
      <c r="A81" s="19"/>
      <c r="B81" s="28"/>
      <c r="C81" s="28"/>
      <c r="D81" s="21" t="s">
        <v>18</v>
      </c>
      <c r="E81" s="214"/>
      <c r="F81" s="71">
        <f>SUM(E73:E80)</f>
        <v>8875</v>
      </c>
      <c r="G81" s="257"/>
      <c r="H81" s="96">
        <f>SUM(G73:G80)</f>
        <v>9075</v>
      </c>
    </row>
    <row r="82" spans="1:8" ht="12.75">
      <c r="A82" s="22" t="s">
        <v>38</v>
      </c>
      <c r="B82" s="26" t="s">
        <v>81</v>
      </c>
      <c r="C82" s="26">
        <v>1</v>
      </c>
      <c r="D82" s="24" t="s">
        <v>82</v>
      </c>
      <c r="E82" s="227">
        <v>150</v>
      </c>
      <c r="F82" s="219"/>
      <c r="G82" s="263">
        <v>150</v>
      </c>
      <c r="H82" s="97"/>
    </row>
    <row r="83" spans="1:8" ht="12.75">
      <c r="A83" s="22"/>
      <c r="B83" s="26"/>
      <c r="C83" s="27">
        <f aca="true" t="shared" si="4" ref="C83:C91">+C82+1</f>
        <v>2</v>
      </c>
      <c r="D83" s="24" t="s">
        <v>83</v>
      </c>
      <c r="E83" s="227">
        <v>660</v>
      </c>
      <c r="F83" s="219"/>
      <c r="G83" s="263">
        <v>660</v>
      </c>
      <c r="H83" s="97"/>
    </row>
    <row r="84" spans="1:8" ht="12.75">
      <c r="A84" s="22"/>
      <c r="B84" s="26"/>
      <c r="C84" s="27">
        <f t="shared" si="4"/>
        <v>3</v>
      </c>
      <c r="D84" s="24" t="s">
        <v>84</v>
      </c>
      <c r="E84" s="227">
        <v>90</v>
      </c>
      <c r="F84" s="219"/>
      <c r="G84" s="263">
        <v>90</v>
      </c>
      <c r="H84" s="97"/>
    </row>
    <row r="85" spans="1:8" ht="12.75">
      <c r="A85" s="12"/>
      <c r="B85" s="27"/>
      <c r="C85" s="27">
        <f t="shared" si="4"/>
        <v>4</v>
      </c>
      <c r="D85" s="14" t="s">
        <v>85</v>
      </c>
      <c r="E85" s="212">
        <f>200+150+65+120+210+60+45</f>
        <v>850</v>
      </c>
      <c r="F85" s="213"/>
      <c r="G85" s="256">
        <f>200+150+65+120+210+60+45</f>
        <v>850</v>
      </c>
      <c r="H85" s="91"/>
    </row>
    <row r="86" spans="1:8" ht="12.75">
      <c r="A86" s="15"/>
      <c r="B86" s="44"/>
      <c r="C86" s="27">
        <f t="shared" si="4"/>
        <v>5</v>
      </c>
      <c r="D86" s="14" t="s">
        <v>86</v>
      </c>
      <c r="E86" s="221">
        <v>2000</v>
      </c>
      <c r="F86" s="224"/>
      <c r="G86" s="270">
        <v>2218</v>
      </c>
      <c r="H86" s="99"/>
    </row>
    <row r="87" spans="1:8" ht="12.75">
      <c r="A87" s="15"/>
      <c r="B87" s="44"/>
      <c r="C87" s="27">
        <f t="shared" si="4"/>
        <v>6</v>
      </c>
      <c r="D87" s="14" t="s">
        <v>87</v>
      </c>
      <c r="E87" s="228">
        <v>60</v>
      </c>
      <c r="F87" s="224"/>
      <c r="G87" s="272">
        <v>61</v>
      </c>
      <c r="H87" s="99"/>
    </row>
    <row r="88" spans="1:8" ht="12.75">
      <c r="A88" s="15"/>
      <c r="B88" s="44"/>
      <c r="C88" s="27">
        <f t="shared" si="4"/>
        <v>7</v>
      </c>
      <c r="D88" s="14" t="s">
        <v>104</v>
      </c>
      <c r="E88" s="228">
        <v>1000</v>
      </c>
      <c r="F88" s="224"/>
      <c r="G88" s="264">
        <v>1000</v>
      </c>
      <c r="H88" s="99"/>
    </row>
    <row r="89" spans="1:8" ht="12.75">
      <c r="A89" s="15"/>
      <c r="B89" s="44"/>
      <c r="C89" s="27">
        <f t="shared" si="4"/>
        <v>8</v>
      </c>
      <c r="D89" s="14" t="s">
        <v>115</v>
      </c>
      <c r="E89" s="228">
        <v>440</v>
      </c>
      <c r="F89" s="224"/>
      <c r="G89" s="264">
        <v>440</v>
      </c>
      <c r="H89" s="185"/>
    </row>
    <row r="90" spans="1:8" ht="12.75">
      <c r="A90" s="15"/>
      <c r="B90" s="44"/>
      <c r="C90" s="27">
        <f t="shared" si="4"/>
        <v>9</v>
      </c>
      <c r="D90" s="14" t="s">
        <v>88</v>
      </c>
      <c r="E90" s="228">
        <v>87</v>
      </c>
      <c r="F90" s="224"/>
      <c r="G90" s="264">
        <v>87</v>
      </c>
      <c r="H90" s="185"/>
    </row>
    <row r="91" spans="1:8" ht="12.75">
      <c r="A91" s="15"/>
      <c r="B91" s="44"/>
      <c r="C91" s="27">
        <f t="shared" si="4"/>
        <v>10</v>
      </c>
      <c r="D91" s="14" t="s">
        <v>89</v>
      </c>
      <c r="E91" s="221">
        <v>830</v>
      </c>
      <c r="F91" s="224"/>
      <c r="G91" s="270">
        <f>880+65</f>
        <v>945</v>
      </c>
      <c r="H91" s="185"/>
    </row>
    <row r="92" spans="1:8" ht="13.5" thickBot="1">
      <c r="A92" s="15"/>
      <c r="B92" s="44"/>
      <c r="C92" s="44"/>
      <c r="D92" s="17" t="s">
        <v>18</v>
      </c>
      <c r="E92" s="214"/>
      <c r="F92" s="222">
        <f>SUM(E82:E91)</f>
        <v>6167</v>
      </c>
      <c r="G92" s="257"/>
      <c r="H92" s="98">
        <f>SUM(G82:G91)</f>
        <v>6501</v>
      </c>
    </row>
    <row r="93" spans="1:8" ht="12.75">
      <c r="A93" s="9" t="s">
        <v>40</v>
      </c>
      <c r="B93" s="25" t="s">
        <v>90</v>
      </c>
      <c r="C93" s="25">
        <v>1</v>
      </c>
      <c r="D93" s="11" t="s">
        <v>9</v>
      </c>
      <c r="E93" s="229">
        <f>14339+6200</f>
        <v>20539</v>
      </c>
      <c r="F93" s="211"/>
      <c r="G93" s="229">
        <f>14339+6200</f>
        <v>20539</v>
      </c>
      <c r="H93" s="90"/>
    </row>
    <row r="94" spans="1:8" ht="12.75">
      <c r="A94" s="12"/>
      <c r="B94" s="27"/>
      <c r="C94" s="27">
        <v>2</v>
      </c>
      <c r="D94" s="14" t="s">
        <v>10</v>
      </c>
      <c r="E94" s="220">
        <v>800</v>
      </c>
      <c r="F94" s="213"/>
      <c r="G94" s="220">
        <v>800</v>
      </c>
      <c r="H94" s="91"/>
    </row>
    <row r="95" spans="1:8" ht="13.5" thickBot="1">
      <c r="A95" s="19"/>
      <c r="B95" s="28"/>
      <c r="C95" s="28"/>
      <c r="D95" s="21" t="s">
        <v>5</v>
      </c>
      <c r="E95" s="214"/>
      <c r="F95" s="71">
        <f>SUM(E93:E94)</f>
        <v>21339</v>
      </c>
      <c r="G95" s="214"/>
      <c r="H95" s="96">
        <f>SUM(G93:G94)</f>
        <v>21339</v>
      </c>
    </row>
    <row r="96" spans="1:8" ht="13.5" thickBot="1">
      <c r="A96" s="50" t="s">
        <v>42</v>
      </c>
      <c r="B96" s="51" t="s">
        <v>39</v>
      </c>
      <c r="C96" s="51"/>
      <c r="D96" s="47"/>
      <c r="E96" s="230">
        <v>1400</v>
      </c>
      <c r="F96" s="231">
        <f>SUM(E96)</f>
        <v>1400</v>
      </c>
      <c r="G96" s="230">
        <v>1400</v>
      </c>
      <c r="H96" s="75">
        <f>SUM(G96)</f>
        <v>1400</v>
      </c>
    </row>
    <row r="97" spans="1:8" ht="13.5" thickBot="1">
      <c r="A97" s="52" t="s">
        <v>50</v>
      </c>
      <c r="B97" s="30" t="s">
        <v>51</v>
      </c>
      <c r="C97" s="33"/>
      <c r="D97" s="34"/>
      <c r="E97" s="232">
        <v>563</v>
      </c>
      <c r="F97" s="233">
        <f>SUM(E97)</f>
        <v>563</v>
      </c>
      <c r="G97" s="232">
        <v>563</v>
      </c>
      <c r="H97" s="102">
        <f>SUM(G97)</f>
        <v>563</v>
      </c>
    </row>
    <row r="98" spans="1:8" ht="12.75">
      <c r="A98" s="36"/>
      <c r="B98" s="25" t="s">
        <v>91</v>
      </c>
      <c r="C98" s="25"/>
      <c r="D98" s="11"/>
      <c r="E98" s="223"/>
      <c r="F98" s="234">
        <f>SUM(F54:F97)</f>
        <v>79324</v>
      </c>
      <c r="G98" s="223"/>
      <c r="H98" s="103">
        <f>SUM(H54:H97)</f>
        <v>81003</v>
      </c>
    </row>
    <row r="99" spans="1:8" ht="13.5" thickBot="1">
      <c r="A99" s="37"/>
      <c r="B99" s="28" t="s">
        <v>92</v>
      </c>
      <c r="C99" s="28"/>
      <c r="D99" s="21"/>
      <c r="E99" s="235"/>
      <c r="F99" s="236">
        <f>+F98-562</f>
        <v>78762</v>
      </c>
      <c r="G99" s="214"/>
      <c r="H99" s="104">
        <f>+H98-562</f>
        <v>80441</v>
      </c>
    </row>
    <row r="100" spans="1:8" ht="9" customHeight="1" thickBot="1">
      <c r="A100" s="53"/>
      <c r="B100" s="53"/>
      <c r="C100" s="53"/>
      <c r="D100" s="53"/>
      <c r="E100" s="237"/>
      <c r="F100" s="238"/>
      <c r="G100" s="265"/>
      <c r="H100" s="105"/>
    </row>
    <row r="101" spans="1:8" ht="13.5" thickBot="1">
      <c r="A101" s="54"/>
      <c r="B101" s="55" t="s">
        <v>93</v>
      </c>
      <c r="C101" s="56"/>
      <c r="D101" s="57"/>
      <c r="E101" s="239"/>
      <c r="F101" s="240">
        <f>+F43-F99</f>
        <v>4132.040000000008</v>
      </c>
      <c r="G101" s="266"/>
      <c r="H101" s="102">
        <f>+H43-H99</f>
        <v>3968.040000000008</v>
      </c>
    </row>
    <row r="102" spans="1:8" ht="12.75">
      <c r="A102" s="53"/>
      <c r="B102" s="58" t="s">
        <v>94</v>
      </c>
      <c r="C102" s="36" t="s">
        <v>157</v>
      </c>
      <c r="D102" s="59"/>
      <c r="E102" s="241">
        <v>2500</v>
      </c>
      <c r="F102" s="242"/>
      <c r="G102" s="101">
        <f>2500+3979</f>
        <v>6479</v>
      </c>
      <c r="H102" s="77"/>
    </row>
    <row r="103" spans="2:8" ht="12.75">
      <c r="B103" s="58"/>
      <c r="C103" s="60" t="s">
        <v>95</v>
      </c>
      <c r="D103" s="61"/>
      <c r="E103" s="243">
        <f>-923-1400-608-2326-1400-1000</f>
        <v>-7657</v>
      </c>
      <c r="F103" s="244"/>
      <c r="G103" s="267">
        <f>-1090-1400-608-2326-1400-1000-3979</f>
        <v>-11803</v>
      </c>
      <c r="H103" s="94"/>
    </row>
    <row r="104" spans="2:9" ht="13.5" thickBot="1">
      <c r="B104" s="62" t="s">
        <v>96</v>
      </c>
      <c r="C104" s="37" t="s">
        <v>97</v>
      </c>
      <c r="D104" s="63"/>
      <c r="E104" s="245">
        <v>1025</v>
      </c>
      <c r="F104" s="246">
        <f>SUM(E102:E104)</f>
        <v>-4132</v>
      </c>
      <c r="G104" s="95">
        <v>1356</v>
      </c>
      <c r="H104" s="96">
        <f>SUM(G102:G104)</f>
        <v>-3968</v>
      </c>
      <c r="I104" s="76">
        <f>+H101+H104</f>
        <v>0.04000000000814907</v>
      </c>
    </row>
    <row r="105" spans="2:8" ht="12.75">
      <c r="B105" s="64" t="s">
        <v>106</v>
      </c>
      <c r="C105" s="26"/>
      <c r="D105" s="26"/>
      <c r="E105" s="247">
        <v>2400</v>
      </c>
      <c r="F105" s="242" t="s">
        <v>98</v>
      </c>
      <c r="G105" s="72">
        <v>2400</v>
      </c>
      <c r="H105" s="69" t="s">
        <v>98</v>
      </c>
    </row>
    <row r="106" spans="2:8" ht="12.75">
      <c r="B106" s="60" t="s">
        <v>99</v>
      </c>
      <c r="C106" s="27"/>
      <c r="D106" s="27"/>
      <c r="E106" s="248">
        <f>+E104-E109</f>
        <v>1025</v>
      </c>
      <c r="F106" s="244" t="s">
        <v>98</v>
      </c>
      <c r="G106" s="274">
        <f>+G104-G109</f>
        <v>1356</v>
      </c>
      <c r="H106" s="70" t="s">
        <v>98</v>
      </c>
    </row>
    <row r="107" spans="2:8" ht="13.5" thickBot="1">
      <c r="B107" s="37" t="s">
        <v>100</v>
      </c>
      <c r="C107" s="28"/>
      <c r="D107" s="28"/>
      <c r="E107" s="249">
        <f>+E105-E106</f>
        <v>1375</v>
      </c>
      <c r="F107" s="246" t="s">
        <v>98</v>
      </c>
      <c r="G107" s="275">
        <f>+G105-G106</f>
        <v>1044</v>
      </c>
      <c r="H107" s="71" t="s">
        <v>98</v>
      </c>
    </row>
    <row r="108" spans="2:8" ht="12.75">
      <c r="B108" s="36" t="s">
        <v>101</v>
      </c>
      <c r="C108" s="25"/>
      <c r="D108" s="25"/>
      <c r="E108" s="250">
        <v>95</v>
      </c>
      <c r="F108" s="251" t="s">
        <v>98</v>
      </c>
      <c r="G108" s="67">
        <v>96</v>
      </c>
      <c r="H108" s="42" t="s">
        <v>98</v>
      </c>
    </row>
    <row r="109" spans="2:8" ht="12.75">
      <c r="B109" s="60" t="s">
        <v>102</v>
      </c>
      <c r="C109" s="27"/>
      <c r="D109" s="27"/>
      <c r="E109" s="248">
        <f>E97-E41</f>
        <v>0</v>
      </c>
      <c r="F109" s="252" t="s">
        <v>98</v>
      </c>
      <c r="G109" s="65">
        <f>G97-G41</f>
        <v>0</v>
      </c>
      <c r="H109" s="43" t="s">
        <v>98</v>
      </c>
    </row>
    <row r="110" spans="2:8" ht="13.5" thickBot="1">
      <c r="B110" s="37" t="s">
        <v>103</v>
      </c>
      <c r="C110" s="28"/>
      <c r="D110" s="28"/>
      <c r="E110" s="249">
        <f>+E108-E109</f>
        <v>95</v>
      </c>
      <c r="F110" s="253" t="s">
        <v>98</v>
      </c>
      <c r="G110" s="66">
        <f>+G108-G109</f>
        <v>96</v>
      </c>
      <c r="H110" s="48" t="s">
        <v>98</v>
      </c>
    </row>
  </sheetData>
  <mergeCells count="4">
    <mergeCell ref="E1:F1"/>
    <mergeCell ref="E44:F44"/>
    <mergeCell ref="G1:H1"/>
    <mergeCell ref="G44:H44"/>
  </mergeCells>
  <printOptions/>
  <pageMargins left="0.72" right="0.2755905511811024" top="0.64" bottom="0.3937007874015748" header="0.2755905511811024" footer="0.15748031496062992"/>
  <pageSetup horizontalDpi="600" verticalDpi="600" orientation="portrait" paperSize="9" scale="98" r:id="rId1"/>
  <headerFooter alignWithMargins="0">
    <oddHeader>&amp;C&amp;"Arial CE,Tučná kurzíva"&amp;14I.úprava rozpočtu města Blovice na rok 2008 schválená ZM dne 16.4.2008</oddHeader>
    <oddFooter>&amp;Lvyvěšeno: 17.4.2008
sejmuto:&amp;R
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70"/>
  <sheetViews>
    <sheetView workbookViewId="0" topLeftCell="A40">
      <selection activeCell="D68" sqref="D68"/>
    </sheetView>
  </sheetViews>
  <sheetFormatPr defaultColWidth="9.00390625" defaultRowHeight="12.75"/>
  <cols>
    <col min="1" max="1" width="4.625" style="0" customWidth="1"/>
    <col min="2" max="2" width="24.375" style="0" customWidth="1"/>
    <col min="4" max="4" width="8.50390625" style="0" customWidth="1"/>
  </cols>
  <sheetData>
    <row r="2" ht="18" thickBot="1">
      <c r="A2" s="106" t="s">
        <v>117</v>
      </c>
    </row>
    <row r="3" spans="1:19" ht="13.5" thickBot="1">
      <c r="A3" s="107" t="s">
        <v>1</v>
      </c>
      <c r="B3" s="108" t="s">
        <v>2</v>
      </c>
      <c r="C3" s="109" t="s">
        <v>156</v>
      </c>
      <c r="D3" s="109">
        <v>2008</v>
      </c>
      <c r="E3" s="110">
        <v>2009</v>
      </c>
      <c r="F3" s="110">
        <v>2010</v>
      </c>
      <c r="G3" s="111">
        <v>2011</v>
      </c>
      <c r="H3" s="111">
        <v>2012</v>
      </c>
      <c r="I3" s="112">
        <v>2013</v>
      </c>
      <c r="J3" s="112">
        <v>2014</v>
      </c>
      <c r="K3" s="112">
        <v>2015</v>
      </c>
      <c r="L3" s="112">
        <v>2016</v>
      </c>
      <c r="M3" s="112">
        <v>2017</v>
      </c>
      <c r="N3" s="112">
        <v>2018</v>
      </c>
      <c r="O3" s="112">
        <v>2019</v>
      </c>
      <c r="P3" s="112">
        <v>2020</v>
      </c>
      <c r="Q3" s="112">
        <v>2021</v>
      </c>
      <c r="R3" s="112">
        <v>2022</v>
      </c>
      <c r="S3" s="112">
        <v>2023</v>
      </c>
    </row>
    <row r="4" spans="1:19" ht="12.75">
      <c r="A4" s="12" t="s">
        <v>6</v>
      </c>
      <c r="B4" s="13" t="s">
        <v>119</v>
      </c>
      <c r="C4" s="115">
        <v>41592</v>
      </c>
      <c r="D4" s="115">
        <v>36770</v>
      </c>
      <c r="E4" s="115">
        <f aca="true" t="shared" si="0" ref="E4:S4">+D4*1.05</f>
        <v>38608.5</v>
      </c>
      <c r="F4" s="116">
        <f t="shared" si="0"/>
        <v>40538.925</v>
      </c>
      <c r="G4" s="117">
        <f t="shared" si="0"/>
        <v>42565.871250000004</v>
      </c>
      <c r="H4" s="118">
        <f t="shared" si="0"/>
        <v>44694.16481250001</v>
      </c>
      <c r="I4" s="118">
        <f t="shared" si="0"/>
        <v>46928.87305312501</v>
      </c>
      <c r="J4" s="118">
        <f t="shared" si="0"/>
        <v>49275.31670578126</v>
      </c>
      <c r="K4" s="118">
        <f t="shared" si="0"/>
        <v>51739.082541070326</v>
      </c>
      <c r="L4" s="118">
        <f t="shared" si="0"/>
        <v>54326.036668123845</v>
      </c>
      <c r="M4" s="118">
        <f t="shared" si="0"/>
        <v>57042.33850153004</v>
      </c>
      <c r="N4" s="118">
        <f t="shared" si="0"/>
        <v>59894.45542660654</v>
      </c>
      <c r="O4" s="118">
        <f t="shared" si="0"/>
        <v>62889.17819793687</v>
      </c>
      <c r="P4" s="118">
        <f t="shared" si="0"/>
        <v>66033.63710783371</v>
      </c>
      <c r="Q4" s="118">
        <f t="shared" si="0"/>
        <v>69335.31896322539</v>
      </c>
      <c r="R4" s="118">
        <f t="shared" si="0"/>
        <v>72802.08491138667</v>
      </c>
      <c r="S4" s="118">
        <f t="shared" si="0"/>
        <v>76442.18915695601</v>
      </c>
    </row>
    <row r="5" spans="1:19" ht="12.75">
      <c r="A5" s="12" t="s">
        <v>13</v>
      </c>
      <c r="B5" s="13" t="s">
        <v>120</v>
      </c>
      <c r="C5" s="115">
        <v>31510</v>
      </c>
      <c r="D5" s="115">
        <v>34458</v>
      </c>
      <c r="E5" s="115">
        <f aca="true" t="shared" si="1" ref="E5:S5">+D5*1.05</f>
        <v>36180.9</v>
      </c>
      <c r="F5" s="116">
        <f t="shared" si="1"/>
        <v>37989.945</v>
      </c>
      <c r="G5" s="117">
        <f t="shared" si="1"/>
        <v>39889.44225</v>
      </c>
      <c r="H5" s="118">
        <f t="shared" si="1"/>
        <v>41883.9143625</v>
      </c>
      <c r="I5" s="118">
        <f t="shared" si="1"/>
        <v>43978.110080625</v>
      </c>
      <c r="J5" s="118">
        <f t="shared" si="1"/>
        <v>46177.015584656256</v>
      </c>
      <c r="K5" s="118">
        <f t="shared" si="1"/>
        <v>48485.86636388907</v>
      </c>
      <c r="L5" s="118">
        <f t="shared" si="1"/>
        <v>50910.159682083526</v>
      </c>
      <c r="M5" s="118">
        <f t="shared" si="1"/>
        <v>53455.667666187706</v>
      </c>
      <c r="N5" s="118">
        <f t="shared" si="1"/>
        <v>56128.4510494971</v>
      </c>
      <c r="O5" s="118">
        <f t="shared" si="1"/>
        <v>58934.87360197195</v>
      </c>
      <c r="P5" s="118">
        <f t="shared" si="1"/>
        <v>61881.617282070554</v>
      </c>
      <c r="Q5" s="118">
        <f t="shared" si="1"/>
        <v>64975.69814617409</v>
      </c>
      <c r="R5" s="118">
        <f t="shared" si="1"/>
        <v>68224.48305348279</v>
      </c>
      <c r="S5" s="118">
        <f t="shared" si="1"/>
        <v>71635.70720615693</v>
      </c>
    </row>
    <row r="6" spans="1:19" ht="12.75">
      <c r="A6" s="12" t="s">
        <v>19</v>
      </c>
      <c r="B6" s="13" t="s">
        <v>121</v>
      </c>
      <c r="C6" s="115">
        <v>5998</v>
      </c>
      <c r="D6" s="115">
        <v>6055</v>
      </c>
      <c r="E6" s="115">
        <f aca="true" t="shared" si="2" ref="E6:S6">+D6*1.05</f>
        <v>6357.75</v>
      </c>
      <c r="F6" s="116">
        <f t="shared" si="2"/>
        <v>6675.637500000001</v>
      </c>
      <c r="G6" s="117">
        <f t="shared" si="2"/>
        <v>7009.419375000001</v>
      </c>
      <c r="H6" s="118">
        <f t="shared" si="2"/>
        <v>7359.890343750002</v>
      </c>
      <c r="I6" s="118">
        <f t="shared" si="2"/>
        <v>7727.884860937503</v>
      </c>
      <c r="J6" s="118">
        <f t="shared" si="2"/>
        <v>8114.279103984378</v>
      </c>
      <c r="K6" s="118">
        <f t="shared" si="2"/>
        <v>8519.993059183596</v>
      </c>
      <c r="L6" s="118">
        <f t="shared" si="2"/>
        <v>8945.992712142777</v>
      </c>
      <c r="M6" s="118">
        <f t="shared" si="2"/>
        <v>9393.292347749917</v>
      </c>
      <c r="N6" s="118">
        <f t="shared" si="2"/>
        <v>9862.956965137413</v>
      </c>
      <c r="O6" s="118">
        <f t="shared" si="2"/>
        <v>10356.104813394284</v>
      </c>
      <c r="P6" s="118">
        <f t="shared" si="2"/>
        <v>10873.910054064</v>
      </c>
      <c r="Q6" s="118">
        <f t="shared" si="2"/>
        <v>11417.6055567672</v>
      </c>
      <c r="R6" s="118">
        <f t="shared" si="2"/>
        <v>11988.485834605559</v>
      </c>
      <c r="S6" s="118">
        <f t="shared" si="2"/>
        <v>12587.910126335837</v>
      </c>
    </row>
    <row r="7" spans="1:19" ht="12.75">
      <c r="A7" s="12" t="s">
        <v>31</v>
      </c>
      <c r="B7" s="13" t="s">
        <v>122</v>
      </c>
      <c r="C7" s="115">
        <v>6766</v>
      </c>
      <c r="D7" s="115">
        <v>550</v>
      </c>
      <c r="E7" s="115">
        <f aca="true" t="shared" si="3" ref="E7:S7">+D7*1.05</f>
        <v>577.5</v>
      </c>
      <c r="F7" s="116">
        <f t="shared" si="3"/>
        <v>606.375</v>
      </c>
      <c r="G7" s="117">
        <f t="shared" si="3"/>
        <v>636.69375</v>
      </c>
      <c r="H7" s="118">
        <f t="shared" si="3"/>
        <v>668.5284375</v>
      </c>
      <c r="I7" s="118">
        <f t="shared" si="3"/>
        <v>701.9548593750001</v>
      </c>
      <c r="J7" s="118">
        <f t="shared" si="3"/>
        <v>737.0526023437501</v>
      </c>
      <c r="K7" s="118">
        <f t="shared" si="3"/>
        <v>773.9052324609377</v>
      </c>
      <c r="L7" s="118">
        <f t="shared" si="3"/>
        <v>812.6004940839846</v>
      </c>
      <c r="M7" s="118">
        <f t="shared" si="3"/>
        <v>853.2305187881839</v>
      </c>
      <c r="N7" s="118">
        <f t="shared" si="3"/>
        <v>895.8920447275931</v>
      </c>
      <c r="O7" s="118">
        <f t="shared" si="3"/>
        <v>940.6866469639727</v>
      </c>
      <c r="P7" s="118">
        <f t="shared" si="3"/>
        <v>987.7209793121714</v>
      </c>
      <c r="Q7" s="118">
        <f t="shared" si="3"/>
        <v>1037.10702827778</v>
      </c>
      <c r="R7" s="118">
        <f t="shared" si="3"/>
        <v>1088.9623796916692</v>
      </c>
      <c r="S7" s="118">
        <f t="shared" si="3"/>
        <v>1143.4104986762527</v>
      </c>
    </row>
    <row r="8" spans="1:19" ht="12.75">
      <c r="A8" s="12" t="s">
        <v>34</v>
      </c>
      <c r="B8" s="13" t="s">
        <v>123</v>
      </c>
      <c r="C8" s="115">
        <v>772</v>
      </c>
      <c r="D8" s="115">
        <v>763</v>
      </c>
      <c r="E8" s="115">
        <f aca="true" t="shared" si="4" ref="E8:S8">+D8*1.05</f>
        <v>801.15</v>
      </c>
      <c r="F8" s="116">
        <f t="shared" si="4"/>
        <v>841.2075</v>
      </c>
      <c r="G8" s="117">
        <f t="shared" si="4"/>
        <v>883.267875</v>
      </c>
      <c r="H8" s="118">
        <f t="shared" si="4"/>
        <v>927.4312687500001</v>
      </c>
      <c r="I8" s="118">
        <f t="shared" si="4"/>
        <v>973.8028321875001</v>
      </c>
      <c r="J8" s="118">
        <f t="shared" si="4"/>
        <v>1022.4929737968752</v>
      </c>
      <c r="K8" s="118">
        <f t="shared" si="4"/>
        <v>1073.617622486719</v>
      </c>
      <c r="L8" s="118">
        <f t="shared" si="4"/>
        <v>1127.2985036110551</v>
      </c>
      <c r="M8" s="118">
        <f t="shared" si="4"/>
        <v>1183.6634287916079</v>
      </c>
      <c r="N8" s="118">
        <f t="shared" si="4"/>
        <v>1242.8466002311884</v>
      </c>
      <c r="O8" s="118">
        <f t="shared" si="4"/>
        <v>1304.988930242748</v>
      </c>
      <c r="P8" s="118">
        <f t="shared" si="4"/>
        <v>1370.2383767548854</v>
      </c>
      <c r="Q8" s="118">
        <f t="shared" si="4"/>
        <v>1438.7502955926298</v>
      </c>
      <c r="R8" s="118">
        <f t="shared" si="4"/>
        <v>1510.6878103722613</v>
      </c>
      <c r="S8" s="118">
        <f t="shared" si="4"/>
        <v>1586.2222008908745</v>
      </c>
    </row>
    <row r="9" spans="1:19" ht="12.75">
      <c r="A9" s="12" t="s">
        <v>38</v>
      </c>
      <c r="B9" s="13" t="s">
        <v>124</v>
      </c>
      <c r="C9" s="115">
        <v>2532</v>
      </c>
      <c r="D9" s="115">
        <v>1600</v>
      </c>
      <c r="E9" s="115">
        <f aca="true" t="shared" si="5" ref="E9:S9">+D9*1.05</f>
        <v>1680</v>
      </c>
      <c r="F9" s="116">
        <f t="shared" si="5"/>
        <v>1764</v>
      </c>
      <c r="G9" s="117">
        <f t="shared" si="5"/>
        <v>1852.2</v>
      </c>
      <c r="H9" s="118">
        <f t="shared" si="5"/>
        <v>1944.8100000000002</v>
      </c>
      <c r="I9" s="118">
        <f t="shared" si="5"/>
        <v>2042.0505000000003</v>
      </c>
      <c r="J9" s="118">
        <f t="shared" si="5"/>
        <v>2144.1530250000005</v>
      </c>
      <c r="K9" s="118">
        <f t="shared" si="5"/>
        <v>2251.360676250001</v>
      </c>
      <c r="L9" s="118">
        <f t="shared" si="5"/>
        <v>2363.928710062501</v>
      </c>
      <c r="M9" s="118">
        <f t="shared" si="5"/>
        <v>2482.125145565626</v>
      </c>
      <c r="N9" s="118">
        <f t="shared" si="5"/>
        <v>2606.2314028439073</v>
      </c>
      <c r="O9" s="118">
        <f t="shared" si="5"/>
        <v>2736.542972986103</v>
      </c>
      <c r="P9" s="118">
        <f t="shared" si="5"/>
        <v>2873.3701216354084</v>
      </c>
      <c r="Q9" s="118">
        <f t="shared" si="5"/>
        <v>3017.0386277171788</v>
      </c>
      <c r="R9" s="118">
        <f t="shared" si="5"/>
        <v>3167.890559103038</v>
      </c>
      <c r="S9" s="118">
        <f t="shared" si="5"/>
        <v>3326.28508705819</v>
      </c>
    </row>
    <row r="10" spans="1:19" ht="12.75">
      <c r="A10" s="12" t="s">
        <v>40</v>
      </c>
      <c r="B10" s="13" t="s">
        <v>125</v>
      </c>
      <c r="C10" s="115">
        <v>500</v>
      </c>
      <c r="D10" s="115">
        <v>500</v>
      </c>
      <c r="E10" s="115">
        <f aca="true" t="shared" si="6" ref="E10:S10">+D10*1.05</f>
        <v>525</v>
      </c>
      <c r="F10" s="116">
        <f t="shared" si="6"/>
        <v>551.25</v>
      </c>
      <c r="G10" s="117">
        <f t="shared" si="6"/>
        <v>578.8125</v>
      </c>
      <c r="H10" s="118">
        <f t="shared" si="6"/>
        <v>607.7531250000001</v>
      </c>
      <c r="I10" s="118">
        <f t="shared" si="6"/>
        <v>638.1407812500001</v>
      </c>
      <c r="J10" s="118">
        <f t="shared" si="6"/>
        <v>670.0478203125002</v>
      </c>
      <c r="K10" s="118">
        <f t="shared" si="6"/>
        <v>703.5502113281252</v>
      </c>
      <c r="L10" s="118">
        <f t="shared" si="6"/>
        <v>738.7277218945316</v>
      </c>
      <c r="M10" s="118">
        <f t="shared" si="6"/>
        <v>775.6641079892581</v>
      </c>
      <c r="N10" s="118">
        <f t="shared" si="6"/>
        <v>814.4473133887211</v>
      </c>
      <c r="O10" s="118">
        <f t="shared" si="6"/>
        <v>855.1696790581572</v>
      </c>
      <c r="P10" s="118">
        <f t="shared" si="6"/>
        <v>897.9281630110651</v>
      </c>
      <c r="Q10" s="118">
        <f t="shared" si="6"/>
        <v>942.8245711616183</v>
      </c>
      <c r="R10" s="118">
        <f t="shared" si="6"/>
        <v>989.9657997196992</v>
      </c>
      <c r="S10" s="118">
        <f t="shared" si="6"/>
        <v>1039.4640897056843</v>
      </c>
    </row>
    <row r="11" spans="1:19" ht="12.75">
      <c r="A11" s="12" t="s">
        <v>42</v>
      </c>
      <c r="B11" s="13" t="s">
        <v>126</v>
      </c>
      <c r="C11" s="115">
        <v>3611</v>
      </c>
      <c r="D11" s="115">
        <v>3712</v>
      </c>
      <c r="E11" s="115">
        <f aca="true" t="shared" si="7" ref="E11:S11">+D11*1.05</f>
        <v>3897.6000000000004</v>
      </c>
      <c r="F11" s="116">
        <f t="shared" si="7"/>
        <v>4092.4800000000005</v>
      </c>
      <c r="G11" s="117">
        <f t="shared" si="7"/>
        <v>4297.104</v>
      </c>
      <c r="H11" s="118">
        <f t="shared" si="7"/>
        <v>4511.9592</v>
      </c>
      <c r="I11" s="118">
        <f t="shared" si="7"/>
        <v>4737.55716</v>
      </c>
      <c r="J11" s="118">
        <f t="shared" si="7"/>
        <v>4974.435018</v>
      </c>
      <c r="K11" s="118">
        <f t="shared" si="7"/>
        <v>5223.1567689</v>
      </c>
      <c r="L11" s="118">
        <f t="shared" si="7"/>
        <v>5484.314607345001</v>
      </c>
      <c r="M11" s="118">
        <f t="shared" si="7"/>
        <v>5758.530337712251</v>
      </c>
      <c r="N11" s="118">
        <f t="shared" si="7"/>
        <v>6046.456854597864</v>
      </c>
      <c r="O11" s="118">
        <f t="shared" si="7"/>
        <v>6348.779697327757</v>
      </c>
      <c r="P11" s="118">
        <f t="shared" si="7"/>
        <v>6666.218682194145</v>
      </c>
      <c r="Q11" s="118">
        <f t="shared" si="7"/>
        <v>6999.529616303853</v>
      </c>
      <c r="R11" s="118">
        <f t="shared" si="7"/>
        <v>7349.506097119046</v>
      </c>
      <c r="S11" s="118">
        <f t="shared" si="7"/>
        <v>7716.981401974998</v>
      </c>
    </row>
    <row r="12" spans="1:19" ht="13.5" thickBot="1">
      <c r="A12" s="37" t="s">
        <v>50</v>
      </c>
      <c r="B12" s="20" t="s">
        <v>127</v>
      </c>
      <c r="C12" s="119">
        <f>553+130505</f>
        <v>131058</v>
      </c>
      <c r="D12" s="119">
        <v>563</v>
      </c>
      <c r="E12" s="119">
        <f aca="true" t="shared" si="8" ref="E12:S12">+D12*1.05</f>
        <v>591.15</v>
      </c>
      <c r="F12" s="120">
        <f t="shared" si="8"/>
        <v>620.7075</v>
      </c>
      <c r="G12" s="121">
        <f t="shared" si="8"/>
        <v>651.742875</v>
      </c>
      <c r="H12" s="122">
        <f t="shared" si="8"/>
        <v>684.33001875</v>
      </c>
      <c r="I12" s="122">
        <f t="shared" si="8"/>
        <v>718.5465196875001</v>
      </c>
      <c r="J12" s="122">
        <f t="shared" si="8"/>
        <v>754.4738456718751</v>
      </c>
      <c r="K12" s="122">
        <f t="shared" si="8"/>
        <v>792.1975379554689</v>
      </c>
      <c r="L12" s="122">
        <f t="shared" si="8"/>
        <v>831.8074148532423</v>
      </c>
      <c r="M12" s="122">
        <f t="shared" si="8"/>
        <v>873.3977855959045</v>
      </c>
      <c r="N12" s="122">
        <f t="shared" si="8"/>
        <v>917.0676748756997</v>
      </c>
      <c r="O12" s="122">
        <f t="shared" si="8"/>
        <v>962.9210586194847</v>
      </c>
      <c r="P12" s="122">
        <f t="shared" si="8"/>
        <v>1011.067111550459</v>
      </c>
      <c r="Q12" s="122">
        <f t="shared" si="8"/>
        <v>1061.620467127982</v>
      </c>
      <c r="R12" s="122">
        <f t="shared" si="8"/>
        <v>1114.701490484381</v>
      </c>
      <c r="S12" s="122">
        <f t="shared" si="8"/>
        <v>1170.4365650086002</v>
      </c>
    </row>
    <row r="13" spans="1:19" ht="13.5" thickBot="1">
      <c r="A13" s="123"/>
      <c r="B13" s="123" t="s">
        <v>96</v>
      </c>
      <c r="C13" s="124">
        <f aca="true" t="shared" si="9" ref="C13:S13">SUM(C4:C12)</f>
        <v>224339</v>
      </c>
      <c r="D13" s="124">
        <f t="shared" si="9"/>
        <v>84971</v>
      </c>
      <c r="E13" s="125">
        <f t="shared" si="9"/>
        <v>89219.54999999999</v>
      </c>
      <c r="F13" s="125">
        <f t="shared" si="9"/>
        <v>93680.5275</v>
      </c>
      <c r="G13" s="126">
        <f t="shared" si="9"/>
        <v>98364.55387500001</v>
      </c>
      <c r="H13" s="126">
        <f t="shared" si="9"/>
        <v>103282.78156875001</v>
      </c>
      <c r="I13" s="127">
        <f t="shared" si="9"/>
        <v>108446.9206471875</v>
      </c>
      <c r="J13" s="127">
        <f t="shared" si="9"/>
        <v>113869.2666795469</v>
      </c>
      <c r="K13" s="127">
        <f t="shared" si="9"/>
        <v>119562.73001352425</v>
      </c>
      <c r="L13" s="127">
        <f t="shared" si="9"/>
        <v>125540.86651420049</v>
      </c>
      <c r="M13" s="127">
        <f t="shared" si="9"/>
        <v>131817.90983991048</v>
      </c>
      <c r="N13" s="127">
        <f t="shared" si="9"/>
        <v>138408.80533190604</v>
      </c>
      <c r="O13" s="127">
        <f t="shared" si="9"/>
        <v>145329.24559850132</v>
      </c>
      <c r="P13" s="127">
        <f t="shared" si="9"/>
        <v>152595.70787842642</v>
      </c>
      <c r="Q13" s="127">
        <f t="shared" si="9"/>
        <v>160225.4932723477</v>
      </c>
      <c r="R13" s="127">
        <f t="shared" si="9"/>
        <v>168236.76793596512</v>
      </c>
      <c r="S13" s="127">
        <f t="shared" si="9"/>
        <v>176648.60633276342</v>
      </c>
    </row>
    <row r="14" spans="1:19" ht="13.5" thickBot="1">
      <c r="A14" s="128"/>
      <c r="B14" s="129" t="s">
        <v>128</v>
      </c>
      <c r="C14" s="130">
        <f>+C13-553-11-130505</f>
        <v>93270</v>
      </c>
      <c r="D14" s="130">
        <f>+D13-562</f>
        <v>84409</v>
      </c>
      <c r="E14" s="131">
        <f aca="true" t="shared" si="10" ref="E14:S14">+E13</f>
        <v>89219.54999999999</v>
      </c>
      <c r="F14" s="131">
        <f t="shared" si="10"/>
        <v>93680.5275</v>
      </c>
      <c r="G14" s="132">
        <f t="shared" si="10"/>
        <v>98364.55387500001</v>
      </c>
      <c r="H14" s="132">
        <f t="shared" si="10"/>
        <v>103282.78156875001</v>
      </c>
      <c r="I14" s="133">
        <f t="shared" si="10"/>
        <v>108446.9206471875</v>
      </c>
      <c r="J14" s="133">
        <f t="shared" si="10"/>
        <v>113869.2666795469</v>
      </c>
      <c r="K14" s="133">
        <f t="shared" si="10"/>
        <v>119562.73001352425</v>
      </c>
      <c r="L14" s="133">
        <f t="shared" si="10"/>
        <v>125540.86651420049</v>
      </c>
      <c r="M14" s="133">
        <f t="shared" si="10"/>
        <v>131817.90983991048</v>
      </c>
      <c r="N14" s="133">
        <f t="shared" si="10"/>
        <v>138408.80533190604</v>
      </c>
      <c r="O14" s="133">
        <f t="shared" si="10"/>
        <v>145329.24559850132</v>
      </c>
      <c r="P14" s="133">
        <f t="shared" si="10"/>
        <v>152595.70787842642</v>
      </c>
      <c r="Q14" s="133">
        <f t="shared" si="10"/>
        <v>160225.4932723477</v>
      </c>
      <c r="R14" s="133">
        <f t="shared" si="10"/>
        <v>168236.76793596512</v>
      </c>
      <c r="S14" s="133">
        <f t="shared" si="10"/>
        <v>176648.60633276342</v>
      </c>
    </row>
    <row r="15" spans="2:19" ht="17.25">
      <c r="B15" s="13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18" thickBot="1">
      <c r="A16" s="134" t="s">
        <v>129</v>
      </c>
      <c r="B16" s="128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3.5" thickBot="1">
      <c r="A17" s="107" t="s">
        <v>1</v>
      </c>
      <c r="B17" s="108" t="s">
        <v>2</v>
      </c>
      <c r="C17" s="109" t="s">
        <v>156</v>
      </c>
      <c r="D17" s="109">
        <v>2008</v>
      </c>
      <c r="E17" s="110">
        <v>2009</v>
      </c>
      <c r="F17" s="110">
        <v>2010</v>
      </c>
      <c r="G17" s="111">
        <v>2011</v>
      </c>
      <c r="H17" s="111">
        <v>2012</v>
      </c>
      <c r="I17" s="112">
        <v>2013</v>
      </c>
      <c r="J17" s="112">
        <v>2014</v>
      </c>
      <c r="K17" s="112">
        <v>2015</v>
      </c>
      <c r="L17" s="112">
        <v>2016</v>
      </c>
      <c r="M17" s="112">
        <v>2017</v>
      </c>
      <c r="N17" s="112">
        <v>2018</v>
      </c>
      <c r="O17" s="112">
        <v>2019</v>
      </c>
      <c r="P17" s="112">
        <v>2020</v>
      </c>
      <c r="Q17" s="112">
        <v>2021</v>
      </c>
      <c r="R17" s="112">
        <v>2022</v>
      </c>
      <c r="S17" s="112">
        <v>2023</v>
      </c>
    </row>
    <row r="18" spans="1:19" ht="12.75">
      <c r="A18" s="9" t="s">
        <v>6</v>
      </c>
      <c r="B18" s="10" t="s">
        <v>118</v>
      </c>
      <c r="C18" s="136">
        <v>4785</v>
      </c>
      <c r="D18" s="136">
        <v>5520</v>
      </c>
      <c r="E18" s="136">
        <f aca="true" t="shared" si="11" ref="E18:S18">+D18*1.05</f>
        <v>5796</v>
      </c>
      <c r="F18" s="137">
        <f t="shared" si="11"/>
        <v>6085.8</v>
      </c>
      <c r="G18" s="113">
        <f t="shared" si="11"/>
        <v>6390.09</v>
      </c>
      <c r="H18" s="114">
        <f t="shared" si="11"/>
        <v>6709.5945</v>
      </c>
      <c r="I18" s="114">
        <f t="shared" si="11"/>
        <v>7045.074225</v>
      </c>
      <c r="J18" s="114">
        <f t="shared" si="11"/>
        <v>7397.327936250001</v>
      </c>
      <c r="K18" s="114">
        <f t="shared" si="11"/>
        <v>7767.194333062501</v>
      </c>
      <c r="L18" s="114">
        <f t="shared" si="11"/>
        <v>8155.554049715626</v>
      </c>
      <c r="M18" s="114">
        <f t="shared" si="11"/>
        <v>8563.331752201408</v>
      </c>
      <c r="N18" s="114">
        <f t="shared" si="11"/>
        <v>8991.498339811478</v>
      </c>
      <c r="O18" s="114">
        <f t="shared" si="11"/>
        <v>9441.073256802052</v>
      </c>
      <c r="P18" s="114">
        <f t="shared" si="11"/>
        <v>9913.126919642154</v>
      </c>
      <c r="Q18" s="114">
        <f t="shared" si="11"/>
        <v>10408.783265624263</v>
      </c>
      <c r="R18" s="114">
        <f t="shared" si="11"/>
        <v>10929.222428905476</v>
      </c>
      <c r="S18" s="114">
        <f t="shared" si="11"/>
        <v>11475.68355035075</v>
      </c>
    </row>
    <row r="19" spans="1:19" ht="12.75">
      <c r="A19" s="12" t="s">
        <v>13</v>
      </c>
      <c r="B19" s="13" t="s">
        <v>130</v>
      </c>
      <c r="C19" s="138">
        <v>26662</v>
      </c>
      <c r="D19" s="138">
        <f>27000+880</f>
        <v>27880</v>
      </c>
      <c r="E19" s="138">
        <f aca="true" t="shared" si="12" ref="E19:S19">+D19*1.05</f>
        <v>29274</v>
      </c>
      <c r="F19" s="139">
        <f t="shared" si="12"/>
        <v>30737.7</v>
      </c>
      <c r="G19" s="117">
        <f t="shared" si="12"/>
        <v>32274.585000000003</v>
      </c>
      <c r="H19" s="118">
        <f t="shared" si="12"/>
        <v>33888.31425</v>
      </c>
      <c r="I19" s="118">
        <f t="shared" si="12"/>
        <v>35582.7299625</v>
      </c>
      <c r="J19" s="118">
        <f t="shared" si="12"/>
        <v>37361.866460625</v>
      </c>
      <c r="K19" s="118">
        <f t="shared" si="12"/>
        <v>39229.95978365625</v>
      </c>
      <c r="L19" s="118">
        <f t="shared" si="12"/>
        <v>41191.457772839065</v>
      </c>
      <c r="M19" s="118">
        <f t="shared" si="12"/>
        <v>43251.03066148102</v>
      </c>
      <c r="N19" s="118">
        <f t="shared" si="12"/>
        <v>45413.58219455507</v>
      </c>
      <c r="O19" s="118">
        <f t="shared" si="12"/>
        <v>47684.26130428282</v>
      </c>
      <c r="P19" s="118">
        <f t="shared" si="12"/>
        <v>50068.474369496966</v>
      </c>
      <c r="Q19" s="118">
        <f t="shared" si="12"/>
        <v>52571.898087971815</v>
      </c>
      <c r="R19" s="118">
        <f t="shared" si="12"/>
        <v>55200.49299237041</v>
      </c>
      <c r="S19" s="118">
        <f t="shared" si="12"/>
        <v>57960.51764198893</v>
      </c>
    </row>
    <row r="20" spans="1:19" ht="12.75">
      <c r="A20" s="12" t="s">
        <v>19</v>
      </c>
      <c r="B20" s="13" t="s">
        <v>131</v>
      </c>
      <c r="C20" s="138">
        <v>2567</v>
      </c>
      <c r="D20" s="138">
        <v>2495</v>
      </c>
      <c r="E20" s="138">
        <f aca="true" t="shared" si="13" ref="E20:S20">+D20*1.05</f>
        <v>2619.75</v>
      </c>
      <c r="F20" s="139">
        <f t="shared" si="13"/>
        <v>2750.7375</v>
      </c>
      <c r="G20" s="117">
        <f t="shared" si="13"/>
        <v>2888.2743750000004</v>
      </c>
      <c r="H20" s="118">
        <f t="shared" si="13"/>
        <v>3032.6880937500005</v>
      </c>
      <c r="I20" s="118">
        <f t="shared" si="13"/>
        <v>3184.3224984375006</v>
      </c>
      <c r="J20" s="118">
        <f t="shared" si="13"/>
        <v>3343.538623359376</v>
      </c>
      <c r="K20" s="118">
        <f t="shared" si="13"/>
        <v>3510.715554527345</v>
      </c>
      <c r="L20" s="118">
        <f t="shared" si="13"/>
        <v>3686.2513322537125</v>
      </c>
      <c r="M20" s="118">
        <f t="shared" si="13"/>
        <v>3870.563898866398</v>
      </c>
      <c r="N20" s="118">
        <f t="shared" si="13"/>
        <v>4064.0920938097183</v>
      </c>
      <c r="O20" s="118">
        <f t="shared" si="13"/>
        <v>4267.296698500204</v>
      </c>
      <c r="P20" s="118">
        <f t="shared" si="13"/>
        <v>4480.661533425215</v>
      </c>
      <c r="Q20" s="118">
        <f t="shared" si="13"/>
        <v>4704.694610096476</v>
      </c>
      <c r="R20" s="118">
        <f t="shared" si="13"/>
        <v>4939.9293406013</v>
      </c>
      <c r="S20" s="118">
        <f t="shared" si="13"/>
        <v>5186.925807631365</v>
      </c>
    </row>
    <row r="21" spans="1:19" ht="12.75">
      <c r="A21" s="12" t="s">
        <v>31</v>
      </c>
      <c r="B21" s="13" t="s">
        <v>132</v>
      </c>
      <c r="C21" s="138">
        <v>4984</v>
      </c>
      <c r="D21" s="138">
        <v>6230</v>
      </c>
      <c r="E21" s="138">
        <v>4000</v>
      </c>
      <c r="F21" s="139">
        <v>7000</v>
      </c>
      <c r="G21" s="117">
        <f aca="true" t="shared" si="14" ref="G21:S21">+F21*1.05</f>
        <v>7350</v>
      </c>
      <c r="H21" s="118">
        <f t="shared" si="14"/>
        <v>7717.5</v>
      </c>
      <c r="I21" s="118">
        <f t="shared" si="14"/>
        <v>8103.375</v>
      </c>
      <c r="J21" s="118">
        <f t="shared" si="14"/>
        <v>8508.54375</v>
      </c>
      <c r="K21" s="118">
        <f t="shared" si="14"/>
        <v>8933.970937500002</v>
      </c>
      <c r="L21" s="118">
        <f t="shared" si="14"/>
        <v>9380.669484375003</v>
      </c>
      <c r="M21" s="118">
        <f t="shared" si="14"/>
        <v>9849.702958593753</v>
      </c>
      <c r="N21" s="118">
        <f t="shared" si="14"/>
        <v>10342.188106523441</v>
      </c>
      <c r="O21" s="118">
        <f t="shared" si="14"/>
        <v>10859.297511849614</v>
      </c>
      <c r="P21" s="118">
        <f t="shared" si="14"/>
        <v>11402.262387442095</v>
      </c>
      <c r="Q21" s="118">
        <f t="shared" si="14"/>
        <v>11972.3755068142</v>
      </c>
      <c r="R21" s="118">
        <f t="shared" si="14"/>
        <v>12570.99428215491</v>
      </c>
      <c r="S21" s="118">
        <f t="shared" si="14"/>
        <v>13199.543996262657</v>
      </c>
    </row>
    <row r="22" spans="1:19" ht="12.75">
      <c r="A22" s="12" t="s">
        <v>34</v>
      </c>
      <c r="B22" s="13" t="s">
        <v>133</v>
      </c>
      <c r="C22" s="138">
        <v>8408</v>
      </c>
      <c r="D22" s="138">
        <v>9075</v>
      </c>
      <c r="E22" s="138">
        <f>+D22*1.05</f>
        <v>9528.75</v>
      </c>
      <c r="F22" s="139">
        <f>+E22*1.05</f>
        <v>10005.1875</v>
      </c>
      <c r="G22" s="117">
        <f aca="true" t="shared" si="15" ref="G22:S22">+F22*1.05</f>
        <v>10505.446875</v>
      </c>
      <c r="H22" s="118">
        <f t="shared" si="15"/>
        <v>11030.71921875</v>
      </c>
      <c r="I22" s="118">
        <f t="shared" si="15"/>
        <v>11582.255179687501</v>
      </c>
      <c r="J22" s="118">
        <f t="shared" si="15"/>
        <v>12161.367938671878</v>
      </c>
      <c r="K22" s="118">
        <f t="shared" si="15"/>
        <v>12769.436335605473</v>
      </c>
      <c r="L22" s="118">
        <f t="shared" si="15"/>
        <v>13407.908152385748</v>
      </c>
      <c r="M22" s="118">
        <f t="shared" si="15"/>
        <v>14078.303560005035</v>
      </c>
      <c r="N22" s="118">
        <f t="shared" si="15"/>
        <v>14782.218738005287</v>
      </c>
      <c r="O22" s="118">
        <f t="shared" si="15"/>
        <v>15521.329674905552</v>
      </c>
      <c r="P22" s="118">
        <f t="shared" si="15"/>
        <v>16297.39615865083</v>
      </c>
      <c r="Q22" s="118">
        <f t="shared" si="15"/>
        <v>17112.26596658337</v>
      </c>
      <c r="R22" s="118">
        <f t="shared" si="15"/>
        <v>17967.87926491254</v>
      </c>
      <c r="S22" s="118">
        <f t="shared" si="15"/>
        <v>18866.273228158167</v>
      </c>
    </row>
    <row r="23" spans="1:19" ht="12.75">
      <c r="A23" s="12" t="s">
        <v>38</v>
      </c>
      <c r="B23" s="13" t="s">
        <v>134</v>
      </c>
      <c r="C23" s="138">
        <v>10119</v>
      </c>
      <c r="D23" s="138">
        <v>6501</v>
      </c>
      <c r="E23" s="138">
        <f>+D23*1.05-500</f>
        <v>6326.05</v>
      </c>
      <c r="F23" s="139">
        <f aca="true" t="shared" si="16" ref="E23:F26">+E23*1.05</f>
        <v>6642.352500000001</v>
      </c>
      <c r="G23" s="117">
        <f aca="true" t="shared" si="17" ref="G23:S23">+F23*1.05</f>
        <v>6974.470125000002</v>
      </c>
      <c r="H23" s="118">
        <f t="shared" si="17"/>
        <v>7323.193631250002</v>
      </c>
      <c r="I23" s="118">
        <f t="shared" si="17"/>
        <v>7689.353312812503</v>
      </c>
      <c r="J23" s="118">
        <f t="shared" si="17"/>
        <v>8073.820978453128</v>
      </c>
      <c r="K23" s="118">
        <f t="shared" si="17"/>
        <v>8477.512027375786</v>
      </c>
      <c r="L23" s="118">
        <f t="shared" si="17"/>
        <v>8901.387628744575</v>
      </c>
      <c r="M23" s="118">
        <f t="shared" si="17"/>
        <v>9346.457010181804</v>
      </c>
      <c r="N23" s="118">
        <f t="shared" si="17"/>
        <v>9813.779860690895</v>
      </c>
      <c r="O23" s="118">
        <f t="shared" si="17"/>
        <v>10304.46885372544</v>
      </c>
      <c r="P23" s="118">
        <f t="shared" si="17"/>
        <v>10819.692296411713</v>
      </c>
      <c r="Q23" s="118">
        <f t="shared" si="17"/>
        <v>11360.6769112323</v>
      </c>
      <c r="R23" s="118">
        <f t="shared" si="17"/>
        <v>11928.710756793915</v>
      </c>
      <c r="S23" s="118">
        <f t="shared" si="17"/>
        <v>12525.14629463361</v>
      </c>
    </row>
    <row r="24" spans="1:19" ht="12.75">
      <c r="A24" s="12" t="s">
        <v>40</v>
      </c>
      <c r="B24" s="13" t="s">
        <v>135</v>
      </c>
      <c r="C24" s="138">
        <v>23365</v>
      </c>
      <c r="D24" s="138">
        <v>21339</v>
      </c>
      <c r="E24" s="138">
        <f t="shared" si="16"/>
        <v>22405.95</v>
      </c>
      <c r="F24" s="139">
        <f t="shared" si="16"/>
        <v>23526.2475</v>
      </c>
      <c r="G24" s="117">
        <f aca="true" t="shared" si="18" ref="G24:S24">+F24*1.05</f>
        <v>24702.559875000003</v>
      </c>
      <c r="H24" s="118">
        <f t="shared" si="18"/>
        <v>25937.687868750003</v>
      </c>
      <c r="I24" s="118">
        <f t="shared" si="18"/>
        <v>27234.572262187503</v>
      </c>
      <c r="J24" s="118">
        <f t="shared" si="18"/>
        <v>28596.300875296878</v>
      </c>
      <c r="K24" s="118">
        <f t="shared" si="18"/>
        <v>30026.11591906172</v>
      </c>
      <c r="L24" s="118">
        <f t="shared" si="18"/>
        <v>31527.42171501481</v>
      </c>
      <c r="M24" s="118">
        <f t="shared" si="18"/>
        <v>33103.79280076555</v>
      </c>
      <c r="N24" s="118">
        <f t="shared" si="18"/>
        <v>34758.982440803826</v>
      </c>
      <c r="O24" s="118">
        <f t="shared" si="18"/>
        <v>36496.931562844016</v>
      </c>
      <c r="P24" s="118">
        <f t="shared" si="18"/>
        <v>38321.77814098622</v>
      </c>
      <c r="Q24" s="118">
        <f t="shared" si="18"/>
        <v>40237.867048035536</v>
      </c>
      <c r="R24" s="118">
        <f t="shared" si="18"/>
        <v>42249.76040043731</v>
      </c>
      <c r="S24" s="118">
        <f t="shared" si="18"/>
        <v>44362.24842045918</v>
      </c>
    </row>
    <row r="25" spans="1:19" ht="12.75">
      <c r="A25" s="12" t="s">
        <v>42</v>
      </c>
      <c r="B25" s="13" t="s">
        <v>124</v>
      </c>
      <c r="C25" s="138">
        <v>1634</v>
      </c>
      <c r="D25" s="138">
        <v>1400</v>
      </c>
      <c r="E25" s="138">
        <f t="shared" si="16"/>
        <v>1470</v>
      </c>
      <c r="F25" s="139">
        <f t="shared" si="16"/>
        <v>1543.5</v>
      </c>
      <c r="G25" s="117">
        <f aca="true" t="shared" si="19" ref="G25:S25">+F25*1.05</f>
        <v>1620.6750000000002</v>
      </c>
      <c r="H25" s="118">
        <f t="shared" si="19"/>
        <v>1701.7087500000002</v>
      </c>
      <c r="I25" s="118">
        <f t="shared" si="19"/>
        <v>1786.7941875000004</v>
      </c>
      <c r="J25" s="118">
        <f t="shared" si="19"/>
        <v>1876.1338968750003</v>
      </c>
      <c r="K25" s="118">
        <f t="shared" si="19"/>
        <v>1969.9405917187505</v>
      </c>
      <c r="L25" s="118">
        <f t="shared" si="19"/>
        <v>2068.437621304688</v>
      </c>
      <c r="M25" s="118">
        <f t="shared" si="19"/>
        <v>2171.8595023699227</v>
      </c>
      <c r="N25" s="118">
        <f t="shared" si="19"/>
        <v>2280.452477488419</v>
      </c>
      <c r="O25" s="118">
        <f t="shared" si="19"/>
        <v>2394.47510136284</v>
      </c>
      <c r="P25" s="118">
        <f t="shared" si="19"/>
        <v>2514.1988564309822</v>
      </c>
      <c r="Q25" s="118">
        <f t="shared" si="19"/>
        <v>2639.9087992525315</v>
      </c>
      <c r="R25" s="118">
        <f t="shared" si="19"/>
        <v>2771.904239215158</v>
      </c>
      <c r="S25" s="118">
        <f t="shared" si="19"/>
        <v>2910.4994511759164</v>
      </c>
    </row>
    <row r="26" spans="1:19" ht="13.5" thickBot="1">
      <c r="A26" s="37" t="s">
        <v>50</v>
      </c>
      <c r="B26" s="20" t="s">
        <v>127</v>
      </c>
      <c r="C26" s="140">
        <f>552+130505</f>
        <v>131057</v>
      </c>
      <c r="D26" s="140">
        <v>563</v>
      </c>
      <c r="E26" s="140">
        <f t="shared" si="16"/>
        <v>591.15</v>
      </c>
      <c r="F26" s="141">
        <f t="shared" si="16"/>
        <v>620.7075</v>
      </c>
      <c r="G26" s="121">
        <f aca="true" t="shared" si="20" ref="G26:S26">+F26*1.05</f>
        <v>651.742875</v>
      </c>
      <c r="H26" s="122">
        <f t="shared" si="20"/>
        <v>684.33001875</v>
      </c>
      <c r="I26" s="122">
        <f t="shared" si="20"/>
        <v>718.5465196875001</v>
      </c>
      <c r="J26" s="122">
        <f t="shared" si="20"/>
        <v>754.4738456718751</v>
      </c>
      <c r="K26" s="122">
        <f t="shared" si="20"/>
        <v>792.1975379554689</v>
      </c>
      <c r="L26" s="122">
        <f t="shared" si="20"/>
        <v>831.8074148532423</v>
      </c>
      <c r="M26" s="122">
        <f t="shared" si="20"/>
        <v>873.3977855959045</v>
      </c>
      <c r="N26" s="122">
        <f t="shared" si="20"/>
        <v>917.0676748756997</v>
      </c>
      <c r="O26" s="122">
        <f t="shared" si="20"/>
        <v>962.9210586194847</v>
      </c>
      <c r="P26" s="122">
        <f t="shared" si="20"/>
        <v>1011.067111550459</v>
      </c>
      <c r="Q26" s="122">
        <f t="shared" si="20"/>
        <v>1061.620467127982</v>
      </c>
      <c r="R26" s="122">
        <f t="shared" si="20"/>
        <v>1114.701490484381</v>
      </c>
      <c r="S26" s="122">
        <f t="shared" si="20"/>
        <v>1170.4365650086002</v>
      </c>
    </row>
    <row r="27" spans="1:19" ht="13.5" thickBot="1">
      <c r="A27" s="123"/>
      <c r="B27" s="142" t="s">
        <v>96</v>
      </c>
      <c r="C27" s="143">
        <f aca="true" t="shared" si="21" ref="C27:S27">SUM(C18:C26)</f>
        <v>213581</v>
      </c>
      <c r="D27" s="143">
        <f t="shared" si="21"/>
        <v>81003</v>
      </c>
      <c r="E27" s="144">
        <f t="shared" si="21"/>
        <v>82011.65</v>
      </c>
      <c r="F27" s="144">
        <f t="shared" si="21"/>
        <v>88912.23250000001</v>
      </c>
      <c r="G27" s="126">
        <f t="shared" si="21"/>
        <v>93357.84412500002</v>
      </c>
      <c r="H27" s="126">
        <f t="shared" si="21"/>
        <v>98025.73633125001</v>
      </c>
      <c r="I27" s="127">
        <f t="shared" si="21"/>
        <v>102927.0231478125</v>
      </c>
      <c r="J27" s="127">
        <f t="shared" si="21"/>
        <v>108073.37430520315</v>
      </c>
      <c r="K27" s="127">
        <f t="shared" si="21"/>
        <v>113477.0430204633</v>
      </c>
      <c r="L27" s="127">
        <f t="shared" si="21"/>
        <v>119150.89517148647</v>
      </c>
      <c r="M27" s="127">
        <f t="shared" si="21"/>
        <v>125108.43993006079</v>
      </c>
      <c r="N27" s="127">
        <f t="shared" si="21"/>
        <v>131363.86192656384</v>
      </c>
      <c r="O27" s="127">
        <f t="shared" si="21"/>
        <v>137932.05502289202</v>
      </c>
      <c r="P27" s="127">
        <f t="shared" si="21"/>
        <v>144828.65777403663</v>
      </c>
      <c r="Q27" s="127">
        <f t="shared" si="21"/>
        <v>152070.09066273845</v>
      </c>
      <c r="R27" s="127">
        <f t="shared" si="21"/>
        <v>159673.5951958754</v>
      </c>
      <c r="S27" s="127">
        <f t="shared" si="21"/>
        <v>167657.27495566919</v>
      </c>
    </row>
    <row r="28" spans="1:19" ht="13.5" thickBot="1">
      <c r="A28" s="145"/>
      <c r="B28" s="55" t="s">
        <v>128</v>
      </c>
      <c r="C28" s="146">
        <f>+C27-553-11-130505</f>
        <v>82512</v>
      </c>
      <c r="D28" s="146">
        <f>+D27-562</f>
        <v>80441</v>
      </c>
      <c r="E28" s="147">
        <f aca="true" t="shared" si="22" ref="E28:S28">+E27</f>
        <v>82011.65</v>
      </c>
      <c r="F28" s="147">
        <f t="shared" si="22"/>
        <v>88912.23250000001</v>
      </c>
      <c r="G28" s="147">
        <f t="shared" si="22"/>
        <v>93357.84412500002</v>
      </c>
      <c r="H28" s="147">
        <f t="shared" si="22"/>
        <v>98025.73633125001</v>
      </c>
      <c r="I28" s="148">
        <f t="shared" si="22"/>
        <v>102927.0231478125</v>
      </c>
      <c r="J28" s="148">
        <f t="shared" si="22"/>
        <v>108073.37430520315</v>
      </c>
      <c r="K28" s="148">
        <f t="shared" si="22"/>
        <v>113477.0430204633</v>
      </c>
      <c r="L28" s="148">
        <f t="shared" si="22"/>
        <v>119150.89517148647</v>
      </c>
      <c r="M28" s="148">
        <f t="shared" si="22"/>
        <v>125108.43993006079</v>
      </c>
      <c r="N28" s="148">
        <f t="shared" si="22"/>
        <v>131363.86192656384</v>
      </c>
      <c r="O28" s="148">
        <f t="shared" si="22"/>
        <v>137932.05502289202</v>
      </c>
      <c r="P28" s="148">
        <f t="shared" si="22"/>
        <v>144828.65777403663</v>
      </c>
      <c r="Q28" s="148">
        <f t="shared" si="22"/>
        <v>152070.09066273845</v>
      </c>
      <c r="R28" s="148">
        <f t="shared" si="22"/>
        <v>159673.5951958754</v>
      </c>
      <c r="S28" s="148">
        <f t="shared" si="22"/>
        <v>167657.27495566919</v>
      </c>
    </row>
    <row r="30" spans="2:4" ht="12.75">
      <c r="B30" s="149"/>
      <c r="C30" s="150"/>
      <c r="D30" s="150"/>
    </row>
    <row r="51" ht="13.5" thickBot="1"/>
    <row r="52" spans="2:8" ht="18" thickBot="1">
      <c r="B52" s="282" t="s">
        <v>136</v>
      </c>
      <c r="C52" s="283"/>
      <c r="D52" s="283"/>
      <c r="E52" s="283"/>
      <c r="F52" s="283"/>
      <c r="G52" s="283"/>
      <c r="H52" s="284"/>
    </row>
    <row r="53" spans="2:4" ht="18" thickBot="1">
      <c r="B53" s="151"/>
      <c r="C53" s="151"/>
      <c r="D53" s="151"/>
    </row>
    <row r="54" spans="2:19" ht="13.5" thickBot="1">
      <c r="B54" s="152" t="s">
        <v>137</v>
      </c>
      <c r="C54" s="153" t="s">
        <v>156</v>
      </c>
      <c r="D54" s="153">
        <v>2008</v>
      </c>
      <c r="E54" s="154">
        <v>2009</v>
      </c>
      <c r="F54" s="154">
        <v>2010</v>
      </c>
      <c r="G54" s="154">
        <v>2011</v>
      </c>
      <c r="H54" s="154">
        <v>2012</v>
      </c>
      <c r="I54" s="154">
        <v>2013</v>
      </c>
      <c r="J54" s="154">
        <v>2014</v>
      </c>
      <c r="K54" s="154">
        <v>2015</v>
      </c>
      <c r="L54" s="154">
        <v>2016</v>
      </c>
      <c r="M54" s="154">
        <v>2017</v>
      </c>
      <c r="N54" s="154">
        <v>2018</v>
      </c>
      <c r="O54" s="154">
        <v>2019</v>
      </c>
      <c r="P54" s="154">
        <v>2020</v>
      </c>
      <c r="Q54" s="154">
        <v>2021</v>
      </c>
      <c r="R54" s="154">
        <v>2022</v>
      </c>
      <c r="S54" s="154">
        <v>2023</v>
      </c>
    </row>
    <row r="55" spans="2:19" ht="13.5" thickBot="1">
      <c r="B55" s="149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</row>
    <row r="56" spans="2:19" ht="12.75">
      <c r="B56" s="9" t="s">
        <v>138</v>
      </c>
      <c r="C56" s="156">
        <f aca="true" t="shared" si="23" ref="C56:S56">+C14</f>
        <v>93270</v>
      </c>
      <c r="D56" s="156">
        <f t="shared" si="23"/>
        <v>84409</v>
      </c>
      <c r="E56" s="156">
        <f t="shared" si="23"/>
        <v>89219.54999999999</v>
      </c>
      <c r="F56" s="157">
        <f t="shared" si="23"/>
        <v>93680.5275</v>
      </c>
      <c r="G56" s="158">
        <f t="shared" si="23"/>
        <v>98364.55387500001</v>
      </c>
      <c r="H56" s="157">
        <f t="shared" si="23"/>
        <v>103282.78156875001</v>
      </c>
      <c r="I56" s="157">
        <f t="shared" si="23"/>
        <v>108446.9206471875</v>
      </c>
      <c r="J56" s="157">
        <f t="shared" si="23"/>
        <v>113869.2666795469</v>
      </c>
      <c r="K56" s="157">
        <f t="shared" si="23"/>
        <v>119562.73001352425</v>
      </c>
      <c r="L56" s="157">
        <f t="shared" si="23"/>
        <v>125540.86651420049</v>
      </c>
      <c r="M56" s="157">
        <f t="shared" si="23"/>
        <v>131817.90983991048</v>
      </c>
      <c r="N56" s="157">
        <f t="shared" si="23"/>
        <v>138408.80533190604</v>
      </c>
      <c r="O56" s="157">
        <f t="shared" si="23"/>
        <v>145329.24559850132</v>
      </c>
      <c r="P56" s="157">
        <f t="shared" si="23"/>
        <v>152595.70787842642</v>
      </c>
      <c r="Q56" s="157">
        <f t="shared" si="23"/>
        <v>160225.4932723477</v>
      </c>
      <c r="R56" s="157">
        <f t="shared" si="23"/>
        <v>168236.76793596512</v>
      </c>
      <c r="S56" s="157">
        <f t="shared" si="23"/>
        <v>176648.60633276342</v>
      </c>
    </row>
    <row r="57" spans="2:19" ht="13.5" thickBot="1">
      <c r="B57" s="19" t="s">
        <v>139</v>
      </c>
      <c r="C57" s="159">
        <f aca="true" t="shared" si="24" ref="C57:S57">+C28</f>
        <v>82512</v>
      </c>
      <c r="D57" s="159">
        <f t="shared" si="24"/>
        <v>80441</v>
      </c>
      <c r="E57" s="159">
        <f t="shared" si="24"/>
        <v>82011.65</v>
      </c>
      <c r="F57" s="160">
        <f t="shared" si="24"/>
        <v>88912.23250000001</v>
      </c>
      <c r="G57" s="161">
        <f t="shared" si="24"/>
        <v>93357.84412500002</v>
      </c>
      <c r="H57" s="162">
        <f t="shared" si="24"/>
        <v>98025.73633125001</v>
      </c>
      <c r="I57" s="162">
        <f t="shared" si="24"/>
        <v>102927.0231478125</v>
      </c>
      <c r="J57" s="162">
        <f t="shared" si="24"/>
        <v>108073.37430520315</v>
      </c>
      <c r="K57" s="162">
        <f t="shared" si="24"/>
        <v>113477.0430204633</v>
      </c>
      <c r="L57" s="162">
        <f t="shared" si="24"/>
        <v>119150.89517148647</v>
      </c>
      <c r="M57" s="162">
        <f t="shared" si="24"/>
        <v>125108.43993006079</v>
      </c>
      <c r="N57" s="162">
        <f t="shared" si="24"/>
        <v>131363.86192656384</v>
      </c>
      <c r="O57" s="162">
        <f t="shared" si="24"/>
        <v>137932.05502289202</v>
      </c>
      <c r="P57" s="162">
        <f t="shared" si="24"/>
        <v>144828.65777403663</v>
      </c>
      <c r="Q57" s="162">
        <f t="shared" si="24"/>
        <v>152070.09066273845</v>
      </c>
      <c r="R57" s="162">
        <f t="shared" si="24"/>
        <v>159673.5951958754</v>
      </c>
      <c r="S57" s="162">
        <f t="shared" si="24"/>
        <v>167657.27495566919</v>
      </c>
    </row>
    <row r="58" spans="2:19" ht="13.5" thickBot="1">
      <c r="B58" s="123" t="s">
        <v>140</v>
      </c>
      <c r="C58" s="163">
        <f aca="true" t="shared" si="25" ref="C58:S58">+C56-C57</f>
        <v>10758</v>
      </c>
      <c r="D58" s="163">
        <f t="shared" si="25"/>
        <v>3968</v>
      </c>
      <c r="E58" s="164">
        <f t="shared" si="25"/>
        <v>7207.899999999994</v>
      </c>
      <c r="F58" s="164">
        <f t="shared" si="25"/>
        <v>4768.294999999984</v>
      </c>
      <c r="G58" s="165">
        <f t="shared" si="25"/>
        <v>5006.7097499999945</v>
      </c>
      <c r="H58" s="165">
        <f t="shared" si="25"/>
        <v>5257.045237500002</v>
      </c>
      <c r="I58" s="165">
        <f t="shared" si="25"/>
        <v>5519.897499374987</v>
      </c>
      <c r="J58" s="165">
        <f t="shared" si="25"/>
        <v>5795.892374343748</v>
      </c>
      <c r="K58" s="165">
        <f t="shared" si="25"/>
        <v>6085.686993060954</v>
      </c>
      <c r="L58" s="165">
        <f t="shared" si="25"/>
        <v>6389.971342714023</v>
      </c>
      <c r="M58" s="165">
        <f t="shared" si="25"/>
        <v>6709.469909849693</v>
      </c>
      <c r="N58" s="165">
        <f t="shared" si="25"/>
        <v>7044.943405342201</v>
      </c>
      <c r="O58" s="165">
        <f t="shared" si="25"/>
        <v>7397.190575609304</v>
      </c>
      <c r="P58" s="165">
        <f t="shared" si="25"/>
        <v>7767.050104389782</v>
      </c>
      <c r="Q58" s="165">
        <f t="shared" si="25"/>
        <v>8155.402609609242</v>
      </c>
      <c r="R58" s="165">
        <f t="shared" si="25"/>
        <v>8563.172740089736</v>
      </c>
      <c r="S58" s="165">
        <f t="shared" si="25"/>
        <v>8991.331377094233</v>
      </c>
    </row>
    <row r="59" spans="2:19" ht="13.5" thickBot="1">
      <c r="B59" s="149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</row>
    <row r="60" spans="2:19" ht="12.75">
      <c r="B60" s="167" t="s">
        <v>141</v>
      </c>
      <c r="C60" s="168">
        <f>1000+546</f>
        <v>1546</v>
      </c>
      <c r="D60" s="168">
        <f>2500+3979</f>
        <v>6479</v>
      </c>
      <c r="E60" s="168">
        <v>1000</v>
      </c>
      <c r="F60" s="169"/>
      <c r="G60" s="170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2:19" ht="12.75">
      <c r="B61" s="171" t="s">
        <v>95</v>
      </c>
      <c r="C61" s="73">
        <f>-217-1400-608-2233-3000-1400-1115-546</f>
        <v>-10519</v>
      </c>
      <c r="D61" s="73">
        <f>-7824-3979</f>
        <v>-11803</v>
      </c>
      <c r="E61" s="73">
        <f>-237-608-2423-1400-2500</f>
        <v>-7168</v>
      </c>
      <c r="F61" s="172">
        <f>-248-608-1400-1000</f>
        <v>-3256</v>
      </c>
      <c r="G61" s="173">
        <f>-260-608-1400</f>
        <v>-2268</v>
      </c>
      <c r="H61" s="172">
        <f>-272-606</f>
        <v>-878</v>
      </c>
      <c r="I61" s="172">
        <v>-285</v>
      </c>
      <c r="J61" s="172">
        <v>-298</v>
      </c>
      <c r="K61" s="172">
        <v>-312</v>
      </c>
      <c r="L61" s="172">
        <v>-326</v>
      </c>
      <c r="M61" s="172">
        <v>-342</v>
      </c>
      <c r="N61" s="172">
        <v>-358</v>
      </c>
      <c r="O61" s="172">
        <v>-374</v>
      </c>
      <c r="P61" s="172">
        <v>-391</v>
      </c>
      <c r="Q61" s="172">
        <v>-410</v>
      </c>
      <c r="R61" s="172">
        <v>-429</v>
      </c>
      <c r="S61" s="172">
        <v>-184</v>
      </c>
    </row>
    <row r="62" spans="2:19" ht="13.5" thickBot="1">
      <c r="B62" s="174" t="s">
        <v>142</v>
      </c>
      <c r="C62" s="175">
        <v>-1785</v>
      </c>
      <c r="D62" s="175">
        <v>1356</v>
      </c>
      <c r="E62" s="175">
        <v>-1040</v>
      </c>
      <c r="F62" s="176">
        <v>-1512</v>
      </c>
      <c r="G62" s="177">
        <v>-2739</v>
      </c>
      <c r="H62" s="176">
        <v>-4379</v>
      </c>
      <c r="I62" s="176">
        <v>-4935</v>
      </c>
      <c r="J62" s="176">
        <v>-5498</v>
      </c>
      <c r="K62" s="176">
        <v>-5774</v>
      </c>
      <c r="L62" s="176">
        <v>-461</v>
      </c>
      <c r="M62" s="176">
        <v>-460</v>
      </c>
      <c r="N62" s="176">
        <v>-459</v>
      </c>
      <c r="O62" s="176">
        <v>-458</v>
      </c>
      <c r="P62" s="176">
        <v>-457</v>
      </c>
      <c r="Q62" s="176">
        <v>-456</v>
      </c>
      <c r="R62" s="176">
        <v>-455</v>
      </c>
      <c r="S62" s="176">
        <v>-454</v>
      </c>
    </row>
    <row r="63" spans="2:19" ht="13.5" thickBot="1">
      <c r="B63" s="123" t="s">
        <v>143</v>
      </c>
      <c r="C63" s="178">
        <f aca="true" t="shared" si="26" ref="C63:S63">SUM(C60:C62)</f>
        <v>-10758</v>
      </c>
      <c r="D63" s="178">
        <f t="shared" si="26"/>
        <v>-3968</v>
      </c>
      <c r="E63" s="179">
        <f t="shared" si="26"/>
        <v>-7208</v>
      </c>
      <c r="F63" s="179">
        <f t="shared" si="26"/>
        <v>-4768</v>
      </c>
      <c r="G63" s="180">
        <f t="shared" si="26"/>
        <v>-5007</v>
      </c>
      <c r="H63" s="180">
        <f t="shared" si="26"/>
        <v>-5257</v>
      </c>
      <c r="I63" s="180">
        <f t="shared" si="26"/>
        <v>-5220</v>
      </c>
      <c r="J63" s="180">
        <f t="shared" si="26"/>
        <v>-5796</v>
      </c>
      <c r="K63" s="180">
        <f t="shared" si="26"/>
        <v>-6086</v>
      </c>
      <c r="L63" s="180">
        <f t="shared" si="26"/>
        <v>-787</v>
      </c>
      <c r="M63" s="180">
        <f t="shared" si="26"/>
        <v>-802</v>
      </c>
      <c r="N63" s="180">
        <f t="shared" si="26"/>
        <v>-817</v>
      </c>
      <c r="O63" s="180">
        <f t="shared" si="26"/>
        <v>-832</v>
      </c>
      <c r="P63" s="180">
        <f t="shared" si="26"/>
        <v>-848</v>
      </c>
      <c r="Q63" s="180">
        <f t="shared" si="26"/>
        <v>-866</v>
      </c>
      <c r="R63" s="180">
        <f t="shared" si="26"/>
        <v>-884</v>
      </c>
      <c r="S63" s="180">
        <f t="shared" si="26"/>
        <v>-638</v>
      </c>
    </row>
    <row r="64" spans="2:19" ht="13.5" thickBo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2:19" ht="13.5" thickBot="1">
      <c r="B65" s="152" t="s">
        <v>144</v>
      </c>
      <c r="C65" s="181">
        <v>2495</v>
      </c>
      <c r="D65" s="181">
        <f aca="true" t="shared" si="27" ref="D65:S65">C65-D62</f>
        <v>1139</v>
      </c>
      <c r="E65" s="165">
        <f t="shared" si="27"/>
        <v>2179</v>
      </c>
      <c r="F65" s="165">
        <f t="shared" si="27"/>
        <v>3691</v>
      </c>
      <c r="G65" s="165">
        <f t="shared" si="27"/>
        <v>6430</v>
      </c>
      <c r="H65" s="165">
        <f t="shared" si="27"/>
        <v>10809</v>
      </c>
      <c r="I65" s="165">
        <f t="shared" si="27"/>
        <v>15744</v>
      </c>
      <c r="J65" s="165">
        <f t="shared" si="27"/>
        <v>21242</v>
      </c>
      <c r="K65" s="165">
        <f t="shared" si="27"/>
        <v>27016</v>
      </c>
      <c r="L65" s="165">
        <f t="shared" si="27"/>
        <v>27477</v>
      </c>
      <c r="M65" s="165">
        <f t="shared" si="27"/>
        <v>27937</v>
      </c>
      <c r="N65" s="165">
        <f t="shared" si="27"/>
        <v>28396</v>
      </c>
      <c r="O65" s="165">
        <f t="shared" si="27"/>
        <v>28854</v>
      </c>
      <c r="P65" s="165">
        <f t="shared" si="27"/>
        <v>29311</v>
      </c>
      <c r="Q65" s="165">
        <f t="shared" si="27"/>
        <v>29767</v>
      </c>
      <c r="R65" s="165">
        <f t="shared" si="27"/>
        <v>30222</v>
      </c>
      <c r="S65" s="165">
        <f t="shared" si="27"/>
        <v>30676</v>
      </c>
    </row>
    <row r="66" spans="2:19" ht="13.5" thickBo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2:19" ht="13.5" thickBot="1">
      <c r="B67" s="152" t="s">
        <v>145</v>
      </c>
      <c r="C67" s="182">
        <v>0.207</v>
      </c>
      <c r="D67" s="182">
        <f>(+D61-1000)/(59619)</f>
        <v>-0.21474697663496536</v>
      </c>
      <c r="E67" s="182">
        <f>(+E61-900)/(62600)</f>
        <v>-0.1288817891373802</v>
      </c>
      <c r="F67" s="182">
        <f>(+F61-800)/(65730)</f>
        <v>-0.06170698311273391</v>
      </c>
      <c r="G67" s="182">
        <f>(+G61-700)/(69016)</f>
        <v>-0.043004520690854295</v>
      </c>
      <c r="H67" s="182">
        <f>(+H61-400)/(72467)</f>
        <v>-0.017635613451640057</v>
      </c>
      <c r="I67" s="182">
        <f>(+I61-50)/(76090)</f>
        <v>-0.004402681035615718</v>
      </c>
      <c r="J67" s="182">
        <f aca="true" t="shared" si="28" ref="J67:S67">(+J61-50)/(J56-J7-10000)</f>
        <v>-0.0033743094057836548</v>
      </c>
      <c r="K67" s="182">
        <f t="shared" si="28"/>
        <v>-0.0033275476661184847</v>
      </c>
      <c r="L67" s="182">
        <f t="shared" si="28"/>
        <v>-0.003277309184940283</v>
      </c>
      <c r="M67" s="182">
        <f t="shared" si="28"/>
        <v>-0.0032406153779762944</v>
      </c>
      <c r="N67" s="182">
        <f t="shared" si="28"/>
        <v>-0.003199675934633554</v>
      </c>
      <c r="O67" s="182">
        <f t="shared" si="28"/>
        <v>-0.003155030482564376</v>
      </c>
      <c r="P67" s="182">
        <f t="shared" si="28"/>
        <v>-0.003114231122529703</v>
      </c>
      <c r="Q67" s="182">
        <f t="shared" si="28"/>
        <v>-0.0030833499281066497</v>
      </c>
      <c r="R67" s="182">
        <f t="shared" si="28"/>
        <v>-0.00304808583425286</v>
      </c>
      <c r="S67" s="182">
        <f t="shared" si="28"/>
        <v>-0.001413852893383337</v>
      </c>
    </row>
    <row r="68" spans="4:19" ht="13.5" thickBot="1">
      <c r="D68" t="s">
        <v>146</v>
      </c>
      <c r="E68" t="s">
        <v>146</v>
      </c>
      <c r="F68" t="s">
        <v>146</v>
      </c>
      <c r="G68" t="s">
        <v>146</v>
      </c>
      <c r="H68" t="s">
        <v>146</v>
      </c>
      <c r="I68" t="s">
        <v>146</v>
      </c>
      <c r="J68" t="s">
        <v>146</v>
      </c>
      <c r="K68" t="s">
        <v>146</v>
      </c>
      <c r="L68" t="s">
        <v>146</v>
      </c>
      <c r="M68" t="s">
        <v>146</v>
      </c>
      <c r="N68" t="s">
        <v>146</v>
      </c>
      <c r="O68" t="s">
        <v>146</v>
      </c>
      <c r="P68" t="s">
        <v>146</v>
      </c>
      <c r="Q68" t="s">
        <v>146</v>
      </c>
      <c r="R68" t="s">
        <v>146</v>
      </c>
      <c r="S68" t="s">
        <v>146</v>
      </c>
    </row>
    <row r="69" spans="2:19" ht="13.5" thickBot="1">
      <c r="B69" s="183" t="s">
        <v>147</v>
      </c>
      <c r="C69" s="184">
        <v>20739</v>
      </c>
      <c r="D69" s="184">
        <f aca="true" t="shared" si="29" ref="D69:S69">+C69+D60+D61</f>
        <v>15415</v>
      </c>
      <c r="E69" s="184">
        <f t="shared" si="29"/>
        <v>9247</v>
      </c>
      <c r="F69" s="184">
        <f t="shared" si="29"/>
        <v>5991</v>
      </c>
      <c r="G69" s="184">
        <f t="shared" si="29"/>
        <v>3723</v>
      </c>
      <c r="H69" s="184">
        <f t="shared" si="29"/>
        <v>2845</v>
      </c>
      <c r="I69" s="184">
        <f t="shared" si="29"/>
        <v>2560</v>
      </c>
      <c r="J69" s="184">
        <f t="shared" si="29"/>
        <v>2262</v>
      </c>
      <c r="K69" s="184">
        <f t="shared" si="29"/>
        <v>1950</v>
      </c>
      <c r="L69" s="184">
        <f t="shared" si="29"/>
        <v>1624</v>
      </c>
      <c r="M69" s="184">
        <f t="shared" si="29"/>
        <v>1282</v>
      </c>
      <c r="N69" s="184">
        <f t="shared" si="29"/>
        <v>924</v>
      </c>
      <c r="O69" s="184">
        <f t="shared" si="29"/>
        <v>550</v>
      </c>
      <c r="P69" s="184">
        <f t="shared" si="29"/>
        <v>159</v>
      </c>
      <c r="Q69" s="184">
        <f t="shared" si="29"/>
        <v>-251</v>
      </c>
      <c r="R69" s="184">
        <f t="shared" si="29"/>
        <v>-680</v>
      </c>
      <c r="S69" s="184">
        <f t="shared" si="29"/>
        <v>-864</v>
      </c>
    </row>
    <row r="70" ht="12.75">
      <c r="B70" t="s">
        <v>148</v>
      </c>
    </row>
  </sheetData>
  <mergeCells count="1">
    <mergeCell ref="B52:H52"/>
  </mergeCells>
  <printOptions/>
  <pageMargins left="0.64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2008-2012 - schválený ZM dne 16.4.2008
</oddHeader>
    <oddFooter>&amp;Lvyvěšeno: 17.4.2008
sejmuto:&amp;Rsestavil Ing.Michal 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2008-04-21T08:48:08Z</cp:lastPrinted>
  <dcterms:created xsi:type="dcterms:W3CDTF">2007-11-05T15:04:08Z</dcterms:created>
  <dcterms:modified xsi:type="dcterms:W3CDTF">2008-04-21T08:48:23Z</dcterms:modified>
  <cp:category/>
  <cp:version/>
  <cp:contentType/>
  <cp:contentStatus/>
</cp:coreProperties>
</file>