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AW118" i="1" l="1"/>
  <c r="AW119" i="1" s="1"/>
  <c r="AU118" i="1"/>
  <c r="AU119" i="1" s="1"/>
  <c r="AS118" i="1"/>
  <c r="AS119" i="1" s="1"/>
  <c r="AQ118" i="1"/>
  <c r="AQ119" i="1" s="1"/>
  <c r="AO118" i="1"/>
  <c r="AO119" i="1" s="1"/>
  <c r="AM118" i="1"/>
  <c r="AM119" i="1" s="1"/>
  <c r="AK118" i="1"/>
  <c r="AK119" i="1" s="1"/>
  <c r="AI118" i="1"/>
  <c r="AI119" i="1" s="1"/>
  <c r="AG118" i="1"/>
  <c r="AG119" i="1" s="1"/>
  <c r="AE118" i="1"/>
  <c r="AE119" i="1" s="1"/>
  <c r="AC118" i="1"/>
  <c r="AC119" i="1" s="1"/>
  <c r="AA118" i="1"/>
  <c r="AA119" i="1" s="1"/>
  <c r="Y118" i="1"/>
  <c r="Y119" i="1" s="1"/>
  <c r="U118" i="1"/>
  <c r="U119" i="1" s="1"/>
  <c r="Q118" i="1"/>
  <c r="O118" i="1"/>
  <c r="O119" i="1" s="1"/>
  <c r="Q117" i="1" s="1"/>
  <c r="M118" i="1"/>
  <c r="M119" i="1" s="1"/>
  <c r="K118" i="1"/>
  <c r="K119" i="1" s="1"/>
  <c r="I118" i="1"/>
  <c r="I119" i="1" s="1"/>
  <c r="G118" i="1"/>
  <c r="G119" i="1" s="1"/>
  <c r="E118" i="1"/>
  <c r="E119" i="1" s="1"/>
  <c r="M113" i="1"/>
  <c r="K113" i="1"/>
  <c r="I113" i="1"/>
  <c r="G113" i="1"/>
  <c r="E113" i="1"/>
  <c r="AV110" i="1"/>
  <c r="AT110" i="1"/>
  <c r="AR110" i="1"/>
  <c r="AP110" i="1"/>
  <c r="AN110" i="1"/>
  <c r="AL110" i="1"/>
  <c r="AJ110" i="1"/>
  <c r="AH110" i="1"/>
  <c r="AF110" i="1"/>
  <c r="AD110" i="1"/>
  <c r="AB110" i="1"/>
  <c r="Z110" i="1"/>
  <c r="V110" i="1"/>
  <c r="R110" i="1"/>
  <c r="P110" i="1"/>
  <c r="N110" i="1"/>
  <c r="L110" i="1"/>
  <c r="J110" i="1"/>
  <c r="H110" i="1"/>
  <c r="F110" i="1"/>
  <c r="AZ105" i="1"/>
  <c r="BB105" i="1" s="1"/>
  <c r="AX105" i="1"/>
  <c r="AV105" i="1"/>
  <c r="AT105" i="1"/>
  <c r="AR105" i="1"/>
  <c r="AP105" i="1"/>
  <c r="AN105" i="1"/>
  <c r="AL105" i="1"/>
  <c r="AJ105" i="1"/>
  <c r="AH105" i="1"/>
  <c r="AF105" i="1"/>
  <c r="AD105" i="1"/>
  <c r="AB105" i="1"/>
  <c r="Z105" i="1"/>
  <c r="V105" i="1"/>
  <c r="R105" i="1"/>
  <c r="P105" i="1"/>
  <c r="N105" i="1"/>
  <c r="L105" i="1"/>
  <c r="J105" i="1"/>
  <c r="H105" i="1"/>
  <c r="F105" i="1"/>
  <c r="AZ104" i="1"/>
  <c r="BB104" i="1" s="1"/>
  <c r="AX104" i="1"/>
  <c r="AV104" i="1"/>
  <c r="AU104" i="1"/>
  <c r="AT104" i="1"/>
  <c r="AS104" i="1"/>
  <c r="AR104" i="1"/>
  <c r="AQ104" i="1"/>
  <c r="AP104" i="1"/>
  <c r="AO104" i="1"/>
  <c r="AN104" i="1"/>
  <c r="AM104" i="1"/>
  <c r="AL104" i="1"/>
  <c r="AJ104" i="1"/>
  <c r="AH104" i="1"/>
  <c r="AF104" i="1"/>
  <c r="AD104" i="1"/>
  <c r="AB104" i="1"/>
  <c r="Z104" i="1"/>
  <c r="V104" i="1"/>
  <c r="R104" i="1"/>
  <c r="O104" i="1"/>
  <c r="P104" i="1" s="1"/>
  <c r="S104" i="1" s="1"/>
  <c r="N104" i="1"/>
  <c r="L104" i="1"/>
  <c r="J104" i="1"/>
  <c r="H104" i="1"/>
  <c r="F104" i="1"/>
  <c r="AZ103" i="1"/>
  <c r="BB103" i="1" s="1"/>
  <c r="AX103" i="1"/>
  <c r="AV103" i="1"/>
  <c r="AU103" i="1"/>
  <c r="AT103" i="1"/>
  <c r="AR103" i="1"/>
  <c r="AP103" i="1"/>
  <c r="AN103" i="1"/>
  <c r="AL103" i="1"/>
  <c r="AJ103" i="1"/>
  <c r="AH103" i="1"/>
  <c r="AF103" i="1"/>
  <c r="AD103" i="1"/>
  <c r="AB103" i="1"/>
  <c r="Z103" i="1"/>
  <c r="V103" i="1"/>
  <c r="R103" i="1"/>
  <c r="P103" i="1"/>
  <c r="N103" i="1"/>
  <c r="L103" i="1"/>
  <c r="J103" i="1"/>
  <c r="H103" i="1"/>
  <c r="F103" i="1"/>
  <c r="AZ102" i="1"/>
  <c r="AX102" i="1"/>
  <c r="F102" i="1"/>
  <c r="BA101" i="1"/>
  <c r="AU101" i="1"/>
  <c r="AS101" i="1"/>
  <c r="AQ101" i="1"/>
  <c r="AO101" i="1"/>
  <c r="AM101" i="1"/>
  <c r="AK101" i="1"/>
  <c r="AI101" i="1"/>
  <c r="AG101" i="1"/>
  <c r="AE101" i="1"/>
  <c r="AC101" i="1"/>
  <c r="AA101" i="1"/>
  <c r="Y101" i="1"/>
  <c r="U101" i="1"/>
  <c r="V102" i="1" s="1"/>
  <c r="Q101" i="1"/>
  <c r="R102" i="1" s="1"/>
  <c r="S102" i="1" s="1"/>
  <c r="O101" i="1"/>
  <c r="M101" i="1"/>
  <c r="K101" i="1"/>
  <c r="I101" i="1"/>
  <c r="G101" i="1"/>
  <c r="BA100" i="1"/>
  <c r="W100" i="1"/>
  <c r="BA99" i="1"/>
  <c r="W99" i="1"/>
  <c r="BA98" i="1"/>
  <c r="AU98" i="1"/>
  <c r="AS98" i="1"/>
  <c r="AQ98" i="1"/>
  <c r="AO98" i="1"/>
  <c r="AM98" i="1"/>
  <c r="AK98" i="1"/>
  <c r="AI98" i="1"/>
  <c r="AG98" i="1"/>
  <c r="AE98" i="1"/>
  <c r="AC98" i="1"/>
  <c r="AA98" i="1"/>
  <c r="Y98" i="1"/>
  <c r="Z102" i="1" s="1"/>
  <c r="W98" i="1"/>
  <c r="U98" i="1"/>
  <c r="BA97" i="1"/>
  <c r="W97" i="1"/>
  <c r="C97" i="1"/>
  <c r="BA96" i="1"/>
  <c r="AU96" i="1"/>
  <c r="AV102" i="1" s="1"/>
  <c r="AS96" i="1"/>
  <c r="AT102" i="1" s="1"/>
  <c r="AQ96" i="1"/>
  <c r="AR102" i="1" s="1"/>
  <c r="AO96" i="1"/>
  <c r="AP102" i="1" s="1"/>
  <c r="AM96" i="1"/>
  <c r="AN102" i="1" s="1"/>
  <c r="AK96" i="1"/>
  <c r="AL102" i="1" s="1"/>
  <c r="AI96" i="1"/>
  <c r="AJ102" i="1" s="1"/>
  <c r="AG96" i="1"/>
  <c r="AH102" i="1" s="1"/>
  <c r="AE96" i="1"/>
  <c r="AF102" i="1" s="1"/>
  <c r="AC96" i="1"/>
  <c r="AD102" i="1" s="1"/>
  <c r="AA96" i="1"/>
  <c r="AB102" i="1" s="1"/>
  <c r="W96" i="1"/>
  <c r="O96" i="1"/>
  <c r="M96" i="1"/>
  <c r="K96" i="1"/>
  <c r="I96" i="1"/>
  <c r="G96" i="1"/>
  <c r="C96" i="1"/>
  <c r="BA95" i="1"/>
  <c r="W95" i="1"/>
  <c r="O95" i="1"/>
  <c r="M95" i="1"/>
  <c r="N102" i="1" s="1"/>
  <c r="K95" i="1"/>
  <c r="L102" i="1" s="1"/>
  <c r="BA94" i="1"/>
  <c r="W94" i="1"/>
  <c r="I94" i="1"/>
  <c r="J102" i="1" s="1"/>
  <c r="G94" i="1"/>
  <c r="H102" i="1" s="1"/>
  <c r="AX93" i="1"/>
  <c r="H93" i="1"/>
  <c r="F93" i="1"/>
  <c r="AU92" i="1"/>
  <c r="AS92" i="1"/>
  <c r="AQ92" i="1"/>
  <c r="AO92" i="1"/>
  <c r="AM92" i="1"/>
  <c r="AK92" i="1"/>
  <c r="AI92" i="1"/>
  <c r="AU89" i="1"/>
  <c r="AS89" i="1"/>
  <c r="AQ89" i="1"/>
  <c r="AO89" i="1"/>
  <c r="AM89" i="1"/>
  <c r="AK89" i="1"/>
  <c r="AI89" i="1"/>
  <c r="AG89" i="1"/>
  <c r="AE89" i="1"/>
  <c r="BA88" i="1"/>
  <c r="AU88" i="1"/>
  <c r="AS88" i="1"/>
  <c r="AQ88" i="1"/>
  <c r="AO88" i="1"/>
  <c r="AM88" i="1"/>
  <c r="AK88" i="1"/>
  <c r="AI88" i="1"/>
  <c r="W88" i="1"/>
  <c r="O88" i="1"/>
  <c r="M88" i="1"/>
  <c r="K88" i="1"/>
  <c r="I88" i="1"/>
  <c r="G88" i="1"/>
  <c r="BA87" i="1"/>
  <c r="AU87" i="1"/>
  <c r="AS87" i="1"/>
  <c r="AQ87" i="1"/>
  <c r="AO87" i="1"/>
  <c r="AM87" i="1"/>
  <c r="AK87" i="1"/>
  <c r="AI87" i="1"/>
  <c r="AG87" i="1"/>
  <c r="AE87" i="1"/>
  <c r="AC87" i="1"/>
  <c r="AA87" i="1"/>
  <c r="W87" i="1"/>
  <c r="BA86" i="1"/>
  <c r="W86" i="1"/>
  <c r="O86" i="1"/>
  <c r="M86" i="1"/>
  <c r="K86" i="1"/>
  <c r="I86" i="1"/>
  <c r="BA85" i="1"/>
  <c r="AU85" i="1"/>
  <c r="AS85" i="1"/>
  <c r="AQ85" i="1"/>
  <c r="AO85" i="1"/>
  <c r="AM85" i="1"/>
  <c r="AK85" i="1"/>
  <c r="AI85" i="1"/>
  <c r="AG85" i="1"/>
  <c r="AE85" i="1"/>
  <c r="AC85" i="1"/>
  <c r="AA85" i="1"/>
  <c r="Y85" i="1"/>
  <c r="U85" i="1"/>
  <c r="W85" i="1" s="1"/>
  <c r="O85" i="1"/>
  <c r="M85" i="1"/>
  <c r="K85" i="1"/>
  <c r="AY84" i="1"/>
  <c r="BA84" i="1" s="1"/>
  <c r="AU84" i="1"/>
  <c r="AS84" i="1"/>
  <c r="AQ84" i="1"/>
  <c r="AO84" i="1"/>
  <c r="AM84" i="1"/>
  <c r="AK84" i="1"/>
  <c r="AI84" i="1"/>
  <c r="AG84" i="1"/>
  <c r="AE84" i="1"/>
  <c r="AC84" i="1"/>
  <c r="AA84" i="1"/>
  <c r="Y84" i="1"/>
  <c r="U84" i="1"/>
  <c r="Q84" i="1"/>
  <c r="O84" i="1"/>
  <c r="M84" i="1"/>
  <c r="K84" i="1"/>
  <c r="I84" i="1"/>
  <c r="BA83" i="1"/>
  <c r="AU83" i="1"/>
  <c r="AS83" i="1"/>
  <c r="AQ83" i="1"/>
  <c r="AO83" i="1"/>
  <c r="AM83" i="1"/>
  <c r="AK83" i="1"/>
  <c r="AI83" i="1"/>
  <c r="W83" i="1"/>
  <c r="AY82" i="1"/>
  <c r="BA82" i="1" s="1"/>
  <c r="AU82" i="1"/>
  <c r="AS82" i="1"/>
  <c r="AQ82" i="1"/>
  <c r="AO82" i="1"/>
  <c r="AM82" i="1"/>
  <c r="AK82" i="1"/>
  <c r="AI82" i="1"/>
  <c r="AG82" i="1"/>
  <c r="AE82" i="1"/>
  <c r="AC82" i="1"/>
  <c r="AA82" i="1"/>
  <c r="Y82" i="1"/>
  <c r="U82" i="1"/>
  <c r="Q82" i="1"/>
  <c r="R93" i="1" s="1"/>
  <c r="S93" i="1" s="1"/>
  <c r="O82" i="1"/>
  <c r="M82" i="1"/>
  <c r="K82" i="1"/>
  <c r="I82" i="1"/>
  <c r="J93" i="1" s="1"/>
  <c r="BA81" i="1"/>
  <c r="W81" i="1"/>
  <c r="BA80" i="1"/>
  <c r="AU80" i="1"/>
  <c r="AV93" i="1" s="1"/>
  <c r="AS80" i="1"/>
  <c r="AQ80" i="1"/>
  <c r="AR93" i="1" s="1"/>
  <c r="AO80" i="1"/>
  <c r="AM80" i="1"/>
  <c r="AN93" i="1" s="1"/>
  <c r="AK80" i="1"/>
  <c r="AI80" i="1"/>
  <c r="AJ93" i="1" s="1"/>
  <c r="AG80" i="1"/>
  <c r="AE80" i="1"/>
  <c r="AF93" i="1" s="1"/>
  <c r="AC80" i="1"/>
  <c r="AA80" i="1"/>
  <c r="AB93" i="1" s="1"/>
  <c r="Y80" i="1"/>
  <c r="U80" i="1"/>
  <c r="V93" i="1" s="1"/>
  <c r="O80" i="1"/>
  <c r="M80" i="1"/>
  <c r="N93" i="1" s="1"/>
  <c r="K80" i="1"/>
  <c r="L93" i="1" s="1"/>
  <c r="C80" i="1"/>
  <c r="C81" i="1" s="1"/>
  <c r="C82" i="1" s="1"/>
  <c r="C83" i="1" s="1"/>
  <c r="C84" i="1" s="1"/>
  <c r="C85" i="1" s="1"/>
  <c r="C86" i="1" s="1"/>
  <c r="BA79" i="1"/>
  <c r="W79" i="1"/>
  <c r="AX78" i="1"/>
  <c r="R78" i="1"/>
  <c r="S78" i="1" s="1"/>
  <c r="W77" i="1"/>
  <c r="M77" i="1"/>
  <c r="K77" i="1"/>
  <c r="I77" i="1"/>
  <c r="G77" i="1"/>
  <c r="AU76" i="1"/>
  <c r="AS76" i="1"/>
  <c r="AQ76" i="1"/>
  <c r="AO76" i="1"/>
  <c r="AM76" i="1"/>
  <c r="AK76" i="1"/>
  <c r="AI76" i="1"/>
  <c r="AG76" i="1"/>
  <c r="AE76" i="1"/>
  <c r="AC76" i="1"/>
  <c r="AA76" i="1"/>
  <c r="Y76" i="1"/>
  <c r="W76" i="1"/>
  <c r="AU74" i="1"/>
  <c r="AS74" i="1"/>
  <c r="AQ74" i="1"/>
  <c r="AO74" i="1"/>
  <c r="AM74" i="1"/>
  <c r="AK74" i="1"/>
  <c r="AI74" i="1"/>
  <c r="W74" i="1"/>
  <c r="W73" i="1"/>
  <c r="AU72" i="1"/>
  <c r="AS72" i="1"/>
  <c r="AQ72" i="1"/>
  <c r="AO72" i="1"/>
  <c r="AM72" i="1"/>
  <c r="AK72" i="1"/>
  <c r="AI72" i="1"/>
  <c r="AG72" i="1"/>
  <c r="AE72" i="1"/>
  <c r="AC72" i="1"/>
  <c r="AA72" i="1"/>
  <c r="Y72" i="1"/>
  <c r="W72" i="1"/>
  <c r="W71" i="1"/>
  <c r="AU70" i="1"/>
  <c r="AS70" i="1"/>
  <c r="AQ70" i="1"/>
  <c r="W70" i="1"/>
  <c r="M70" i="1"/>
  <c r="K70" i="1"/>
  <c r="I70" i="1"/>
  <c r="G70" i="1"/>
  <c r="E70" i="1"/>
  <c r="AU69" i="1"/>
  <c r="AS69" i="1"/>
  <c r="AQ69" i="1"/>
  <c r="AO69" i="1"/>
  <c r="AM69" i="1"/>
  <c r="AK69" i="1"/>
  <c r="AI69" i="1"/>
  <c r="AG69" i="1"/>
  <c r="AE69" i="1"/>
  <c r="AC69" i="1"/>
  <c r="AA69" i="1"/>
  <c r="Y69" i="1"/>
  <c r="W69" i="1"/>
  <c r="AU68" i="1"/>
  <c r="AS68" i="1"/>
  <c r="AQ68" i="1"/>
  <c r="AO68" i="1"/>
  <c r="AM68" i="1"/>
  <c r="AK68" i="1"/>
  <c r="AI68" i="1"/>
  <c r="AG68" i="1"/>
  <c r="AE68" i="1"/>
  <c r="AC68" i="1"/>
  <c r="AA68" i="1"/>
  <c r="Y68" i="1"/>
  <c r="U68" i="1"/>
  <c r="V78" i="1" s="1"/>
  <c r="Q68" i="1"/>
  <c r="AU67" i="1"/>
  <c r="AS67" i="1"/>
  <c r="AQ67" i="1"/>
  <c r="AO67" i="1"/>
  <c r="W67" i="1"/>
  <c r="AU66" i="1"/>
  <c r="AS66" i="1"/>
  <c r="AQ66" i="1"/>
  <c r="AO66" i="1"/>
  <c r="AM66" i="1"/>
  <c r="AK66" i="1"/>
  <c r="AI66" i="1"/>
  <c r="AG66" i="1"/>
  <c r="AE66" i="1"/>
  <c r="AC66" i="1"/>
  <c r="W66" i="1"/>
  <c r="AU65" i="1"/>
  <c r="AS65" i="1"/>
  <c r="AQ65" i="1"/>
  <c r="AO65" i="1"/>
  <c r="AM65" i="1"/>
  <c r="AN78" i="1" s="1"/>
  <c r="AK65" i="1"/>
  <c r="AI65" i="1"/>
  <c r="AJ78" i="1" s="1"/>
  <c r="AG65" i="1"/>
  <c r="AE65" i="1"/>
  <c r="AF78" i="1" s="1"/>
  <c r="AC65" i="1"/>
  <c r="AA65" i="1"/>
  <c r="AB78" i="1" s="1"/>
  <c r="Y65" i="1"/>
  <c r="W65" i="1"/>
  <c r="AU64" i="1"/>
  <c r="AS64" i="1"/>
  <c r="AT78" i="1" s="1"/>
  <c r="AQ64" i="1"/>
  <c r="W64" i="1"/>
  <c r="M64" i="1"/>
  <c r="K64" i="1"/>
  <c r="L78" i="1" s="1"/>
  <c r="I64" i="1"/>
  <c r="G64" i="1"/>
  <c r="H78" i="1" s="1"/>
  <c r="E64" i="1"/>
  <c r="AX63" i="1"/>
  <c r="AY62" i="1"/>
  <c r="BA62" i="1" s="1"/>
  <c r="AU62" i="1"/>
  <c r="AS62" i="1"/>
  <c r="AQ62" i="1"/>
  <c r="AO62" i="1"/>
  <c r="AM62" i="1"/>
  <c r="AK62" i="1"/>
  <c r="AI62" i="1"/>
  <c r="AG62" i="1"/>
  <c r="AE62" i="1"/>
  <c r="AC62" i="1"/>
  <c r="AA62" i="1"/>
  <c r="Y62" i="1"/>
  <c r="U62" i="1"/>
  <c r="W62" i="1" s="1"/>
  <c r="Q62" i="1"/>
  <c r="K62" i="1"/>
  <c r="M62" i="1" s="1"/>
  <c r="O62" i="1" s="1"/>
  <c r="I62" i="1"/>
  <c r="G62" i="1"/>
  <c r="AY61" i="1"/>
  <c r="BA61" i="1" s="1"/>
  <c r="AU61" i="1"/>
  <c r="AS61" i="1"/>
  <c r="AQ61" i="1"/>
  <c r="AO61" i="1"/>
  <c r="AM61" i="1"/>
  <c r="AK61" i="1"/>
  <c r="AI61" i="1"/>
  <c r="AG61" i="1"/>
  <c r="AE61" i="1"/>
  <c r="AC61" i="1"/>
  <c r="AA61" i="1"/>
  <c r="Y61" i="1"/>
  <c r="U61" i="1"/>
  <c r="W61" i="1" s="1"/>
  <c r="Q61" i="1"/>
  <c r="O61" i="1"/>
  <c r="M61" i="1"/>
  <c r="K61" i="1"/>
  <c r="I61" i="1"/>
  <c r="G61" i="1"/>
  <c r="BA60" i="1"/>
  <c r="W60" i="1"/>
  <c r="M60" i="1"/>
  <c r="K60" i="1"/>
  <c r="I60" i="1"/>
  <c r="G60" i="1"/>
  <c r="AY59" i="1"/>
  <c r="BA59" i="1" s="1"/>
  <c r="AU59" i="1"/>
  <c r="AS59" i="1"/>
  <c r="AQ59" i="1"/>
  <c r="AO59" i="1"/>
  <c r="AM59" i="1"/>
  <c r="AK59" i="1"/>
  <c r="AI59" i="1"/>
  <c r="AG59" i="1"/>
  <c r="AE59" i="1"/>
  <c r="AC59" i="1"/>
  <c r="AA59" i="1"/>
  <c r="Y59" i="1"/>
  <c r="U59" i="1"/>
  <c r="W59" i="1" s="1"/>
  <c r="Q59" i="1"/>
  <c r="O59" i="1"/>
  <c r="M59" i="1"/>
  <c r="K59" i="1"/>
  <c r="I59" i="1"/>
  <c r="G59" i="1"/>
  <c r="E59" i="1"/>
  <c r="F63" i="1" s="1"/>
  <c r="C59" i="1"/>
  <c r="C60" i="1" s="1"/>
  <c r="C61" i="1" s="1"/>
  <c r="C62" i="1" s="1"/>
  <c r="AY58" i="1"/>
  <c r="AZ63" i="1" s="1"/>
  <c r="AU58" i="1"/>
  <c r="AV63" i="1" s="1"/>
  <c r="AS58" i="1"/>
  <c r="AT63" i="1" s="1"/>
  <c r="AQ58" i="1"/>
  <c r="AR63" i="1" s="1"/>
  <c r="AO58" i="1"/>
  <c r="AP63" i="1" s="1"/>
  <c r="AM58" i="1"/>
  <c r="AN63" i="1" s="1"/>
  <c r="AK58" i="1"/>
  <c r="AL63" i="1" s="1"/>
  <c r="AI58" i="1"/>
  <c r="AJ63" i="1" s="1"/>
  <c r="AG58" i="1"/>
  <c r="AH63" i="1" s="1"/>
  <c r="AE58" i="1"/>
  <c r="AF63" i="1" s="1"/>
  <c r="AC58" i="1"/>
  <c r="AD63" i="1" s="1"/>
  <c r="AA58" i="1"/>
  <c r="AB63" i="1" s="1"/>
  <c r="Y58" i="1"/>
  <c r="Z63" i="1" s="1"/>
  <c r="U58" i="1"/>
  <c r="V63" i="1" s="1"/>
  <c r="Q58" i="1"/>
  <c r="R63" i="1" s="1"/>
  <c r="S63" i="1" s="1"/>
  <c r="K58" i="1"/>
  <c r="L63" i="1" s="1"/>
  <c r="I58" i="1"/>
  <c r="J63" i="1" s="1"/>
  <c r="G58" i="1"/>
  <c r="H63" i="1" s="1"/>
  <c r="AX57" i="1"/>
  <c r="L57" i="1"/>
  <c r="J57" i="1"/>
  <c r="H57" i="1"/>
  <c r="F57" i="1"/>
  <c r="AY56" i="1"/>
  <c r="AZ57" i="1" s="1"/>
  <c r="AU56" i="1"/>
  <c r="AS56" i="1"/>
  <c r="AQ56" i="1"/>
  <c r="AO56" i="1"/>
  <c r="AM56" i="1"/>
  <c r="AK56" i="1"/>
  <c r="AI56" i="1"/>
  <c r="AG56" i="1"/>
  <c r="AE56" i="1"/>
  <c r="AC56" i="1"/>
  <c r="AA56" i="1"/>
  <c r="Y56" i="1"/>
  <c r="U56" i="1"/>
  <c r="Q56" i="1"/>
  <c r="R57" i="1" s="1"/>
  <c r="S57" i="1" s="1"/>
  <c r="O56" i="1"/>
  <c r="BA55" i="1"/>
  <c r="AU55" i="1"/>
  <c r="AV57" i="1" s="1"/>
  <c r="AS55" i="1"/>
  <c r="AT57" i="1" s="1"/>
  <c r="AQ55" i="1"/>
  <c r="AR57" i="1" s="1"/>
  <c r="AO55" i="1"/>
  <c r="AP57" i="1" s="1"/>
  <c r="AM55" i="1"/>
  <c r="AN57" i="1" s="1"/>
  <c r="AK55" i="1"/>
  <c r="AL57" i="1" s="1"/>
  <c r="AI55" i="1"/>
  <c r="AJ57" i="1" s="1"/>
  <c r="AG55" i="1"/>
  <c r="AH57" i="1" s="1"/>
  <c r="AE55" i="1"/>
  <c r="AF57" i="1" s="1"/>
  <c r="AC55" i="1"/>
  <c r="AD57" i="1" s="1"/>
  <c r="AA55" i="1"/>
  <c r="AB57" i="1" s="1"/>
  <c r="Y55" i="1"/>
  <c r="Z57" i="1" s="1"/>
  <c r="U55" i="1"/>
  <c r="W55" i="1" s="1"/>
  <c r="O55" i="1"/>
  <c r="P57" i="1" s="1"/>
  <c r="M55" i="1"/>
  <c r="N57" i="1" s="1"/>
  <c r="BA54" i="1"/>
  <c r="AX54" i="1"/>
  <c r="AX106" i="1" s="1"/>
  <c r="L54" i="1"/>
  <c r="L106" i="1" s="1"/>
  <c r="J54" i="1"/>
  <c r="H54" i="1"/>
  <c r="H106" i="1" s="1"/>
  <c r="H107" i="1" s="1"/>
  <c r="F54" i="1"/>
  <c r="BA53" i="1"/>
  <c r="W53" i="1"/>
  <c r="BA52" i="1"/>
  <c r="AU52" i="1"/>
  <c r="AS52" i="1"/>
  <c r="AQ52" i="1"/>
  <c r="AO52" i="1"/>
  <c r="AM52" i="1"/>
  <c r="AK52" i="1"/>
  <c r="AI52" i="1"/>
  <c r="AG52" i="1"/>
  <c r="AE52" i="1"/>
  <c r="W52" i="1"/>
  <c r="BA51" i="1"/>
  <c r="AU51" i="1"/>
  <c r="AS51" i="1"/>
  <c r="AQ51" i="1"/>
  <c r="AO51" i="1"/>
  <c r="AM51" i="1"/>
  <c r="AK51" i="1"/>
  <c r="W51" i="1"/>
  <c r="O51" i="1"/>
  <c r="M51" i="1"/>
  <c r="AY50" i="1"/>
  <c r="AZ54" i="1" s="1"/>
  <c r="AU50" i="1"/>
  <c r="AS50" i="1"/>
  <c r="AQ50" i="1"/>
  <c r="AO50" i="1"/>
  <c r="AM50" i="1"/>
  <c r="AK50" i="1"/>
  <c r="AI50" i="1"/>
  <c r="AG50" i="1"/>
  <c r="AE50" i="1"/>
  <c r="AC50" i="1"/>
  <c r="AA50" i="1"/>
  <c r="Y50" i="1"/>
  <c r="Z54" i="1" s="1"/>
  <c r="U50" i="1"/>
  <c r="V54" i="1" s="1"/>
  <c r="Q50" i="1"/>
  <c r="R54" i="1" s="1"/>
  <c r="R106" i="1" s="1"/>
  <c r="BA49" i="1"/>
  <c r="W49" i="1"/>
  <c r="BA48" i="1"/>
  <c r="W48" i="1"/>
  <c r="O48" i="1"/>
  <c r="BA47" i="1"/>
  <c r="W47" i="1"/>
  <c r="BA46" i="1"/>
  <c r="AU46" i="1"/>
  <c r="AS46" i="1"/>
  <c r="AQ46" i="1"/>
  <c r="AO46" i="1"/>
  <c r="AM46" i="1"/>
  <c r="AK46" i="1"/>
  <c r="AI46" i="1"/>
  <c r="W46" i="1"/>
  <c r="BA45" i="1"/>
  <c r="AU45" i="1"/>
  <c r="AS45" i="1"/>
  <c r="AT54" i="1" s="1"/>
  <c r="AQ45" i="1"/>
  <c r="AO45" i="1"/>
  <c r="AP54" i="1" s="1"/>
  <c r="AM45" i="1"/>
  <c r="AK45" i="1"/>
  <c r="AL54" i="1" s="1"/>
  <c r="AI45" i="1"/>
  <c r="AG45" i="1"/>
  <c r="AH54" i="1" s="1"/>
  <c r="AE45" i="1"/>
  <c r="AC45" i="1"/>
  <c r="AD54" i="1" s="1"/>
  <c r="AA45" i="1"/>
  <c r="W45" i="1"/>
  <c r="M45" i="1"/>
  <c r="BA40" i="1"/>
  <c r="AZ40" i="1"/>
  <c r="BB40" i="1" s="1"/>
  <c r="AV40" i="1"/>
  <c r="AT40" i="1"/>
  <c r="AR40" i="1"/>
  <c r="AP40" i="1"/>
  <c r="AN40" i="1"/>
  <c r="AL40" i="1"/>
  <c r="AJ40" i="1"/>
  <c r="AH40" i="1"/>
  <c r="AF40" i="1"/>
  <c r="AD40" i="1"/>
  <c r="AB40" i="1"/>
  <c r="Z40" i="1"/>
  <c r="W40" i="1"/>
  <c r="V40" i="1"/>
  <c r="R40" i="1"/>
  <c r="S40" i="1" s="1"/>
  <c r="P40" i="1"/>
  <c r="N40" i="1"/>
  <c r="L40" i="1"/>
  <c r="J40" i="1"/>
  <c r="H40" i="1"/>
  <c r="F40" i="1"/>
  <c r="AX39" i="1"/>
  <c r="N39" i="1"/>
  <c r="F39" i="1"/>
  <c r="BA38" i="1"/>
  <c r="AU38" i="1"/>
  <c r="AS38" i="1"/>
  <c r="AQ38" i="1"/>
  <c r="AO38" i="1"/>
  <c r="AM38" i="1"/>
  <c r="AK38" i="1"/>
  <c r="AI38" i="1"/>
  <c r="AG38" i="1"/>
  <c r="AE38" i="1"/>
  <c r="W38" i="1"/>
  <c r="O38" i="1"/>
  <c r="M38" i="1"/>
  <c r="K38" i="1"/>
  <c r="I38" i="1"/>
  <c r="BA37" i="1"/>
  <c r="W37" i="1"/>
  <c r="BA36" i="1"/>
  <c r="W36" i="1"/>
  <c r="C36" i="1"/>
  <c r="C37" i="1" s="1"/>
  <c r="C38" i="1" s="1"/>
  <c r="AY35" i="1"/>
  <c r="AZ39" i="1" s="1"/>
  <c r="AU35" i="1"/>
  <c r="AS35" i="1"/>
  <c r="AT39" i="1" s="1"/>
  <c r="AQ35" i="1"/>
  <c r="AO35" i="1"/>
  <c r="AP39" i="1" s="1"/>
  <c r="AM35" i="1"/>
  <c r="AK35" i="1"/>
  <c r="AL39" i="1" s="1"/>
  <c r="AI35" i="1"/>
  <c r="AG35" i="1"/>
  <c r="AH39" i="1" s="1"/>
  <c r="AE35" i="1"/>
  <c r="AC35" i="1"/>
  <c r="AD39" i="1" s="1"/>
  <c r="AA35" i="1"/>
  <c r="AB39" i="1" s="1"/>
  <c r="Y35" i="1"/>
  <c r="Z39" i="1" s="1"/>
  <c r="U35" i="1"/>
  <c r="V39" i="1" s="1"/>
  <c r="Q35" i="1"/>
  <c r="R39" i="1" s="1"/>
  <c r="O35" i="1"/>
  <c r="P39" i="1" s="1"/>
  <c r="M35" i="1"/>
  <c r="K35" i="1"/>
  <c r="L39" i="1" s="1"/>
  <c r="I35" i="1"/>
  <c r="J39" i="1" s="1"/>
  <c r="G35" i="1"/>
  <c r="H39" i="1" s="1"/>
  <c r="C35" i="1"/>
  <c r="BA34" i="1"/>
  <c r="W34" i="1"/>
  <c r="BA33" i="1"/>
  <c r="AZ33" i="1"/>
  <c r="BB33" i="1" s="1"/>
  <c r="AV33" i="1"/>
  <c r="AT33" i="1"/>
  <c r="AR33" i="1"/>
  <c r="AP33" i="1"/>
  <c r="AN33" i="1"/>
  <c r="AL33" i="1"/>
  <c r="AJ33" i="1"/>
  <c r="AH33" i="1"/>
  <c r="AF33" i="1"/>
  <c r="AD33" i="1"/>
  <c r="AB33" i="1"/>
  <c r="Z33" i="1"/>
  <c r="W33" i="1"/>
  <c r="V33" i="1"/>
  <c r="R33" i="1"/>
  <c r="S33" i="1" s="1"/>
  <c r="P33" i="1"/>
  <c r="N33" i="1"/>
  <c r="L33" i="1"/>
  <c r="J33" i="1"/>
  <c r="H33" i="1"/>
  <c r="F33" i="1"/>
  <c r="BA32" i="1"/>
  <c r="AZ32" i="1"/>
  <c r="BB32" i="1" s="1"/>
  <c r="AV32" i="1"/>
  <c r="AT32" i="1"/>
  <c r="AR32" i="1"/>
  <c r="AP32" i="1"/>
  <c r="AN32" i="1"/>
  <c r="AL32" i="1"/>
  <c r="AJ32" i="1"/>
  <c r="AH32" i="1"/>
  <c r="AF32" i="1"/>
  <c r="AD32" i="1"/>
  <c r="AB32" i="1"/>
  <c r="Z32" i="1"/>
  <c r="W32" i="1"/>
  <c r="V32" i="1"/>
  <c r="R32" i="1"/>
  <c r="P32" i="1"/>
  <c r="S32" i="1" s="1"/>
  <c r="O32" i="1"/>
  <c r="N32" i="1"/>
  <c r="L32" i="1"/>
  <c r="J32" i="1"/>
  <c r="H32" i="1"/>
  <c r="F32" i="1"/>
  <c r="AZ31" i="1"/>
  <c r="AX31" i="1"/>
  <c r="BB31" i="1" s="1"/>
  <c r="AV31" i="1"/>
  <c r="AT31" i="1"/>
  <c r="AR31" i="1"/>
  <c r="AP31" i="1"/>
  <c r="AN31" i="1"/>
  <c r="AL31" i="1"/>
  <c r="AJ31" i="1"/>
  <c r="AH31" i="1"/>
  <c r="AF31" i="1"/>
  <c r="AD31" i="1"/>
  <c r="AB31" i="1"/>
  <c r="Z31" i="1"/>
  <c r="V31" i="1"/>
  <c r="R31" i="1"/>
  <c r="S31" i="1" s="1"/>
  <c r="BA30" i="1"/>
  <c r="W30" i="1"/>
  <c r="O30" i="1"/>
  <c r="P31" i="1" s="1"/>
  <c r="M30" i="1"/>
  <c r="N31" i="1" s="1"/>
  <c r="K30" i="1"/>
  <c r="L31" i="1" s="1"/>
  <c r="I30" i="1"/>
  <c r="J31" i="1" s="1"/>
  <c r="G30" i="1"/>
  <c r="H31" i="1" s="1"/>
  <c r="E30" i="1"/>
  <c r="F31" i="1" s="1"/>
  <c r="BA29" i="1"/>
  <c r="W29" i="1"/>
  <c r="BA28" i="1"/>
  <c r="W28" i="1"/>
  <c r="AZ27" i="1"/>
  <c r="AX27" i="1"/>
  <c r="BB27" i="1" s="1"/>
  <c r="AV27" i="1"/>
  <c r="AT27" i="1"/>
  <c r="AR27" i="1"/>
  <c r="AP27" i="1"/>
  <c r="AN27" i="1"/>
  <c r="AL27" i="1"/>
  <c r="AJ27" i="1"/>
  <c r="AH27" i="1"/>
  <c r="AF27" i="1"/>
  <c r="AD27" i="1"/>
  <c r="AB27" i="1"/>
  <c r="Z27" i="1"/>
  <c r="V27" i="1"/>
  <c r="R27" i="1"/>
  <c r="S27" i="1" s="1"/>
  <c r="L27" i="1"/>
  <c r="J27" i="1"/>
  <c r="H27" i="1"/>
  <c r="F27" i="1"/>
  <c r="BA26" i="1"/>
  <c r="W26" i="1"/>
  <c r="BA25" i="1"/>
  <c r="W25" i="1"/>
  <c r="BA24" i="1"/>
  <c r="W24" i="1"/>
  <c r="O24" i="1"/>
  <c r="M24" i="1"/>
  <c r="N27" i="1" s="1"/>
  <c r="BA23" i="1"/>
  <c r="W23" i="1"/>
  <c r="O23" i="1"/>
  <c r="AX22" i="1"/>
  <c r="BA21" i="1"/>
  <c r="W21" i="1"/>
  <c r="AY20" i="1"/>
  <c r="BA20" i="1" s="1"/>
  <c r="AU20" i="1"/>
  <c r="AS20" i="1"/>
  <c r="AQ20" i="1"/>
  <c r="AO20" i="1"/>
  <c r="AM20" i="1"/>
  <c r="AK20" i="1"/>
  <c r="AI20" i="1"/>
  <c r="AG20" i="1"/>
  <c r="AE20" i="1"/>
  <c r="AC20" i="1"/>
  <c r="AA20" i="1"/>
  <c r="Y20" i="1"/>
  <c r="U20" i="1"/>
  <c r="Q20" i="1"/>
  <c r="W20" i="1" s="1"/>
  <c r="O20" i="1"/>
  <c r="M20" i="1"/>
  <c r="K20" i="1"/>
  <c r="I20" i="1"/>
  <c r="G20" i="1"/>
  <c r="E20" i="1"/>
  <c r="BA19" i="1"/>
  <c r="W19" i="1"/>
  <c r="AY18" i="1"/>
  <c r="BA18" i="1" s="1"/>
  <c r="AU18" i="1"/>
  <c r="AS18" i="1"/>
  <c r="AQ18" i="1"/>
  <c r="AO18" i="1"/>
  <c r="AM18" i="1"/>
  <c r="AK18" i="1"/>
  <c r="AI18" i="1"/>
  <c r="AG18" i="1"/>
  <c r="AE18" i="1"/>
  <c r="AC18" i="1"/>
  <c r="AA18" i="1"/>
  <c r="Y18" i="1"/>
  <c r="U18" i="1"/>
  <c r="W18" i="1" s="1"/>
  <c r="Q18" i="1"/>
  <c r="O18" i="1"/>
  <c r="M18" i="1"/>
  <c r="K18" i="1"/>
  <c r="I18" i="1"/>
  <c r="G18" i="1"/>
  <c r="E18" i="1"/>
  <c r="BA17" i="1"/>
  <c r="W17" i="1"/>
  <c r="BA16" i="1"/>
  <c r="AY16" i="1"/>
  <c r="AU16" i="1"/>
  <c r="AV22" i="1" s="1"/>
  <c r="AS16" i="1"/>
  <c r="AQ16" i="1"/>
  <c r="AR22" i="1" s="1"/>
  <c r="AO16" i="1"/>
  <c r="AM16" i="1"/>
  <c r="AN22" i="1" s="1"/>
  <c r="AK16" i="1"/>
  <c r="AI16" i="1"/>
  <c r="AJ22" i="1" s="1"/>
  <c r="AG16" i="1"/>
  <c r="AE16" i="1"/>
  <c r="AF22" i="1" s="1"/>
  <c r="AC16" i="1"/>
  <c r="AA16" i="1"/>
  <c r="AB22" i="1" s="1"/>
  <c r="Y16" i="1"/>
  <c r="U16" i="1"/>
  <c r="V22" i="1" s="1"/>
  <c r="Q16" i="1"/>
  <c r="O16" i="1"/>
  <c r="P22" i="1" s="1"/>
  <c r="M16" i="1"/>
  <c r="K16" i="1"/>
  <c r="L22" i="1" s="1"/>
  <c r="I16" i="1"/>
  <c r="G16" i="1"/>
  <c r="H22" i="1" s="1"/>
  <c r="E16" i="1"/>
  <c r="BA15" i="1"/>
  <c r="W15" i="1"/>
  <c r="BA14" i="1"/>
  <c r="W14" i="1"/>
  <c r="BA13" i="1"/>
  <c r="W13" i="1"/>
  <c r="C13" i="1"/>
  <c r="C14" i="1" s="1"/>
  <c r="C15" i="1" s="1"/>
  <c r="C16" i="1" s="1"/>
  <c r="C17" i="1" s="1"/>
  <c r="C18" i="1" s="1"/>
  <c r="C19" i="1" s="1"/>
  <c r="C20" i="1" s="1"/>
  <c r="C21" i="1" s="1"/>
  <c r="BA12" i="1"/>
  <c r="W12" i="1"/>
  <c r="C12" i="1"/>
  <c r="BA11" i="1"/>
  <c r="W11" i="1"/>
  <c r="AZ10" i="1"/>
  <c r="AX10" i="1"/>
  <c r="Z10" i="1"/>
  <c r="V10" i="1"/>
  <c r="R10" i="1"/>
  <c r="P10" i="1"/>
  <c r="N10" i="1"/>
  <c r="L10" i="1"/>
  <c r="J10" i="1"/>
  <c r="H10" i="1"/>
  <c r="F10" i="1"/>
  <c r="BA9" i="1"/>
  <c r="AU9" i="1"/>
  <c r="AV10" i="1" s="1"/>
  <c r="AS9" i="1"/>
  <c r="AT10" i="1" s="1"/>
  <c r="AQ9" i="1"/>
  <c r="AR10" i="1" s="1"/>
  <c r="AO9" i="1"/>
  <c r="AP10" i="1" s="1"/>
  <c r="AM9" i="1"/>
  <c r="AN10" i="1" s="1"/>
  <c r="AK9" i="1"/>
  <c r="AL10" i="1" s="1"/>
  <c r="AI9" i="1"/>
  <c r="AJ10" i="1" s="1"/>
  <c r="AG9" i="1"/>
  <c r="AH10" i="1" s="1"/>
  <c r="AE9" i="1"/>
  <c r="AF10" i="1" s="1"/>
  <c r="AC9" i="1"/>
  <c r="AD10" i="1" s="1"/>
  <c r="AA9" i="1"/>
  <c r="AB10" i="1" s="1"/>
  <c r="W9" i="1"/>
  <c r="BA8" i="1"/>
  <c r="W8" i="1"/>
  <c r="BA7" i="1"/>
  <c r="W7" i="1"/>
  <c r="AX6" i="1"/>
  <c r="AX41" i="1" s="1"/>
  <c r="AY5" i="1"/>
  <c r="BA5" i="1" s="1"/>
  <c r="AU5" i="1"/>
  <c r="AS5" i="1"/>
  <c r="AQ5" i="1"/>
  <c r="AO5" i="1"/>
  <c r="AM5" i="1"/>
  <c r="AK5" i="1"/>
  <c r="AI5" i="1"/>
  <c r="AG5" i="1"/>
  <c r="AE5" i="1"/>
  <c r="AC5" i="1"/>
  <c r="AA5" i="1"/>
  <c r="Y5" i="1"/>
  <c r="U5" i="1"/>
  <c r="Q5" i="1"/>
  <c r="W5" i="1" s="1"/>
  <c r="O5" i="1"/>
  <c r="M5" i="1"/>
  <c r="K5" i="1"/>
  <c r="I5" i="1"/>
  <c r="AY4" i="1"/>
  <c r="AU4" i="1"/>
  <c r="AV6" i="1" s="1"/>
  <c r="AS4" i="1"/>
  <c r="AQ4" i="1"/>
  <c r="AR6" i="1" s="1"/>
  <c r="AO4" i="1"/>
  <c r="AM4" i="1"/>
  <c r="AN6" i="1" s="1"/>
  <c r="AK4" i="1"/>
  <c r="AI4" i="1"/>
  <c r="AJ6" i="1" s="1"/>
  <c r="AG4" i="1"/>
  <c r="AE4" i="1"/>
  <c r="AF6" i="1" s="1"/>
  <c r="AC4" i="1"/>
  <c r="AA4" i="1"/>
  <c r="AB6" i="1" s="1"/>
  <c r="Y4" i="1"/>
  <c r="U4" i="1"/>
  <c r="V6" i="1" s="1"/>
  <c r="V41" i="1" s="1"/>
  <c r="Q4" i="1"/>
  <c r="O4" i="1"/>
  <c r="M4" i="1"/>
  <c r="K4" i="1"/>
  <c r="L6" i="1" s="1"/>
  <c r="L41" i="1" s="1"/>
  <c r="I4" i="1"/>
  <c r="G4" i="1"/>
  <c r="H6" i="1" s="1"/>
  <c r="H41" i="1" s="1"/>
  <c r="H42" i="1" s="1"/>
  <c r="H109" i="1" s="1"/>
  <c r="H112" i="1" s="1"/>
  <c r="G115" i="1" s="1"/>
  <c r="E4" i="1"/>
  <c r="F6" i="1" s="1"/>
  <c r="J6" i="1" l="1"/>
  <c r="N6" i="1"/>
  <c r="R6" i="1"/>
  <c r="R41" i="1" s="1"/>
  <c r="Z6" i="1"/>
  <c r="AD6" i="1"/>
  <c r="AH6" i="1"/>
  <c r="AL6" i="1"/>
  <c r="AP6" i="1"/>
  <c r="AT6" i="1"/>
  <c r="AZ6" i="1"/>
  <c r="BB10" i="1"/>
  <c r="F22" i="1"/>
  <c r="F41" i="1" s="1"/>
  <c r="F42" i="1" s="1"/>
  <c r="J22" i="1"/>
  <c r="N22" i="1"/>
  <c r="R22" i="1"/>
  <c r="Z22" i="1"/>
  <c r="AD22" i="1"/>
  <c r="AH22" i="1"/>
  <c r="AL22" i="1"/>
  <c r="AP22" i="1"/>
  <c r="AT22" i="1"/>
  <c r="AZ22" i="1"/>
  <c r="N54" i="1"/>
  <c r="AB54" i="1"/>
  <c r="AB106" i="1" s="1"/>
  <c r="AF54" i="1"/>
  <c r="AF106" i="1" s="1"/>
  <c r="AJ54" i="1"/>
  <c r="AJ106" i="1" s="1"/>
  <c r="AN54" i="1"/>
  <c r="AN106" i="1" s="1"/>
  <c r="AR54" i="1"/>
  <c r="AV54" i="1"/>
  <c r="AV106" i="1" s="1"/>
  <c r="BB54" i="1"/>
  <c r="P106" i="1"/>
  <c r="P107" i="1" s="1"/>
  <c r="V57" i="1"/>
  <c r="BB63" i="1"/>
  <c r="F78" i="1"/>
  <c r="J78" i="1"/>
  <c r="J106" i="1" s="1"/>
  <c r="J107" i="1" s="1"/>
  <c r="N78" i="1"/>
  <c r="AR78" i="1"/>
  <c r="AV78" i="1"/>
  <c r="Z78" i="1"/>
  <c r="Z106" i="1" s="1"/>
  <c r="AD78" i="1"/>
  <c r="AH78" i="1"/>
  <c r="AH106" i="1" s="1"/>
  <c r="AH107" i="1" s="1"/>
  <c r="AL78" i="1"/>
  <c r="AP78" i="1"/>
  <c r="AP106" i="1" s="1"/>
  <c r="AP107" i="1" s="1"/>
  <c r="Z93" i="1"/>
  <c r="AD93" i="1"/>
  <c r="AH93" i="1"/>
  <c r="AL93" i="1"/>
  <c r="AP93" i="1"/>
  <c r="AT93" i="1"/>
  <c r="W82" i="1"/>
  <c r="W84" i="1"/>
  <c r="S103" i="1"/>
  <c r="S105" i="1"/>
  <c r="Q119" i="1"/>
  <c r="AB41" i="1"/>
  <c r="AB42" i="1" s="1"/>
  <c r="AB109" i="1" s="1"/>
  <c r="AB112" i="1" s="1"/>
  <c r="AA115" i="1" s="1"/>
  <c r="AA116" i="1" s="1"/>
  <c r="BB22" i="1"/>
  <c r="AF39" i="1"/>
  <c r="AF41" i="1" s="1"/>
  <c r="AF42" i="1" s="1"/>
  <c r="AF109" i="1" s="1"/>
  <c r="AF112" i="1" s="1"/>
  <c r="AE115" i="1" s="1"/>
  <c r="AE116" i="1" s="1"/>
  <c r="AJ39" i="1"/>
  <c r="AJ41" i="1" s="1"/>
  <c r="AJ42" i="1" s="1"/>
  <c r="AJ109" i="1" s="1"/>
  <c r="AJ112" i="1" s="1"/>
  <c r="AI115" i="1" s="1"/>
  <c r="AI116" i="1" s="1"/>
  <c r="AN39" i="1"/>
  <c r="AN41" i="1" s="1"/>
  <c r="AN42" i="1" s="1"/>
  <c r="AN109" i="1" s="1"/>
  <c r="AN112" i="1" s="1"/>
  <c r="AM115" i="1" s="1"/>
  <c r="AM116" i="1" s="1"/>
  <c r="AR39" i="1"/>
  <c r="AR41" i="1" s="1"/>
  <c r="AR42" i="1" s="1"/>
  <c r="AV39" i="1"/>
  <c r="AV41" i="1" s="1"/>
  <c r="AV42" i="1" s="1"/>
  <c r="AV109" i="1" s="1"/>
  <c r="AV112" i="1" s="1"/>
  <c r="AU115" i="1" s="1"/>
  <c r="AU116" i="1" s="1"/>
  <c r="AD106" i="1"/>
  <c r="AD107" i="1" s="1"/>
  <c r="AL106" i="1"/>
  <c r="AL107" i="1" s="1"/>
  <c r="AT106" i="1"/>
  <c r="AT107" i="1" s="1"/>
  <c r="V106" i="1"/>
  <c r="S6" i="1"/>
  <c r="P41" i="1"/>
  <c r="P42" i="1" s="1"/>
  <c r="S22" i="1"/>
  <c r="S39" i="1"/>
  <c r="BB39" i="1"/>
  <c r="AB107" i="1"/>
  <c r="AF107" i="1"/>
  <c r="AJ107" i="1"/>
  <c r="AN107" i="1"/>
  <c r="AV107" i="1"/>
  <c r="BB57" i="1"/>
  <c r="L42" i="1"/>
  <c r="V42" i="1"/>
  <c r="AX42" i="1"/>
  <c r="V107" i="1"/>
  <c r="W4" i="1"/>
  <c r="BA4" i="1"/>
  <c r="BB6" i="1"/>
  <c r="W35" i="1"/>
  <c r="BA35" i="1"/>
  <c r="W50" i="1"/>
  <c r="BA50" i="1"/>
  <c r="F106" i="1"/>
  <c r="F107" i="1" s="1"/>
  <c r="S54" i="1"/>
  <c r="AX107" i="1"/>
  <c r="BB107" i="1" s="1"/>
  <c r="BB106" i="1"/>
  <c r="W56" i="1"/>
  <c r="BA56" i="1"/>
  <c r="M58" i="1"/>
  <c r="W58" i="1"/>
  <c r="BA58" i="1"/>
  <c r="S10" i="1"/>
  <c r="W16" i="1"/>
  <c r="L107" i="1"/>
  <c r="R107" i="1"/>
  <c r="S106" i="1"/>
  <c r="W68" i="1"/>
  <c r="W80" i="1"/>
  <c r="W101" i="1"/>
  <c r="G116" i="1"/>
  <c r="J109" i="1" l="1"/>
  <c r="J112" i="1" s="1"/>
  <c r="I115" i="1" s="1"/>
  <c r="I116" i="1" s="1"/>
  <c r="F109" i="1"/>
  <c r="F112" i="1" s="1"/>
  <c r="E115" i="1" s="1"/>
  <c r="E116" i="1" s="1"/>
  <c r="AT41" i="1"/>
  <c r="AT42" i="1" s="1"/>
  <c r="AL41" i="1"/>
  <c r="AL42" i="1" s="1"/>
  <c r="AD41" i="1"/>
  <c r="AD42" i="1" s="1"/>
  <c r="J41" i="1"/>
  <c r="J42" i="1" s="1"/>
  <c r="S107" i="1"/>
  <c r="P109" i="1"/>
  <c r="P112" i="1" s="1"/>
  <c r="O115" i="1" s="1"/>
  <c r="O116" i="1" s="1"/>
  <c r="AR106" i="1"/>
  <c r="AR107" i="1" s="1"/>
  <c r="AR109" i="1" s="1"/>
  <c r="AR112" i="1" s="1"/>
  <c r="AQ115" i="1" s="1"/>
  <c r="AQ116" i="1" s="1"/>
  <c r="AZ41" i="1"/>
  <c r="AP41" i="1"/>
  <c r="AP42" i="1" s="1"/>
  <c r="AP109" i="1" s="1"/>
  <c r="AP112" i="1" s="1"/>
  <c r="AO115" i="1" s="1"/>
  <c r="AO116" i="1" s="1"/>
  <c r="AH41" i="1"/>
  <c r="AH42" i="1" s="1"/>
  <c r="Z41" i="1"/>
  <c r="Z42" i="1" s="1"/>
  <c r="N41" i="1"/>
  <c r="N42" i="1" s="1"/>
  <c r="AT109" i="1"/>
  <c r="AT112" i="1" s="1"/>
  <c r="AS115" i="1" s="1"/>
  <c r="AS116" i="1" s="1"/>
  <c r="AL109" i="1"/>
  <c r="AL112" i="1" s="1"/>
  <c r="AK115" i="1" s="1"/>
  <c r="AK116" i="1" s="1"/>
  <c r="AH109" i="1"/>
  <c r="AH112" i="1" s="1"/>
  <c r="AG115" i="1" s="1"/>
  <c r="AG116" i="1" s="1"/>
  <c r="AD109" i="1"/>
  <c r="AD112" i="1" s="1"/>
  <c r="AC115" i="1" s="1"/>
  <c r="AC116" i="1" s="1"/>
  <c r="O58" i="1"/>
  <c r="N63" i="1"/>
  <c r="N106" i="1" s="1"/>
  <c r="Z107" i="1"/>
  <c r="AX109" i="1"/>
  <c r="AX112" i="1" s="1"/>
  <c r="AW115" i="1" s="1"/>
  <c r="AW116" i="1" s="1"/>
  <c r="V109" i="1"/>
  <c r="V112" i="1" s="1"/>
  <c r="U115" i="1" s="1"/>
  <c r="U116" i="1" s="1"/>
  <c r="L109" i="1"/>
  <c r="L112" i="1" s="1"/>
  <c r="K115" i="1" s="1"/>
  <c r="K116" i="1" s="1"/>
  <c r="S41" i="1"/>
  <c r="R42" i="1"/>
  <c r="Z109" i="1" l="1"/>
  <c r="Z112" i="1" s="1"/>
  <c r="Y115" i="1" s="1"/>
  <c r="Y116" i="1" s="1"/>
  <c r="AZ42" i="1"/>
  <c r="BB42" i="1" s="1"/>
  <c r="BB41" i="1"/>
  <c r="R109" i="1"/>
  <c r="S42" i="1"/>
  <c r="N107" i="1"/>
  <c r="N109" i="1" s="1"/>
  <c r="N112" i="1" s="1"/>
  <c r="M115" i="1" s="1"/>
  <c r="M116" i="1" s="1"/>
  <c r="R112" i="1" l="1"/>
  <c r="Q115" i="1" s="1"/>
  <c r="Q116" i="1" s="1"/>
  <c r="S109" i="1"/>
</calcChain>
</file>

<file path=xl/sharedStrings.xml><?xml version="1.0" encoding="utf-8"?>
<sst xmlns="http://schemas.openxmlformats.org/spreadsheetml/2006/main" count="494" uniqueCount="257">
  <si>
    <t>Příjmy - tis.Kč (porovnání každoročně opakujících se příjmů)</t>
  </si>
  <si>
    <t>Schválený rozpočet 2016</t>
  </si>
  <si>
    <t>II. rozpočtová úprava</t>
  </si>
  <si>
    <t>III. rozpočtová úprava</t>
  </si>
  <si>
    <t>IV. rozp.úprava</t>
  </si>
  <si>
    <t>V. rozp.úprava</t>
  </si>
  <si>
    <t xml:space="preserve"> VII. rozp.úprava</t>
  </si>
  <si>
    <t>Rozpočet 2017</t>
  </si>
  <si>
    <t>Rozdíl</t>
  </si>
  <si>
    <t>Poznámka</t>
  </si>
  <si>
    <t xml:space="preserve">I. rozpočtová úprava RM </t>
  </si>
  <si>
    <t xml:space="preserve">II. rozpočtová úprava ZM </t>
  </si>
  <si>
    <t xml:space="preserve">III. rozpočtová úprava ZM </t>
  </si>
  <si>
    <t xml:space="preserve">IV. rozpočtová úprava ZM </t>
  </si>
  <si>
    <t xml:space="preserve">V. rozpočtová úprava ZM </t>
  </si>
  <si>
    <t xml:space="preserve">VI. rozpočtová úprava RM (na vědomí ZM) </t>
  </si>
  <si>
    <t xml:space="preserve">VII. rozpočtová úprava ZM </t>
  </si>
  <si>
    <t xml:space="preserve">VIII. rozpočtová úprava RM </t>
  </si>
  <si>
    <t>IX. rozpočtová úprava RM</t>
  </si>
  <si>
    <t>X. rozpočtová úprava RM</t>
  </si>
  <si>
    <t>XI. rozpočtová úprava ZM</t>
  </si>
  <si>
    <t>XII. rozpočtová úprava ZM</t>
  </si>
  <si>
    <t>XIII. rozpočtová úprava ZM</t>
  </si>
  <si>
    <t>Návrh RZP 2018</t>
  </si>
  <si>
    <t xml:space="preserve">Rozdíl </t>
  </si>
  <si>
    <t>ZM 23. 03. 2016</t>
  </si>
  <si>
    <t>RM 16. 05. 2016</t>
  </si>
  <si>
    <t>ZM 01. 06. 2016</t>
  </si>
  <si>
    <t>RM 11. 07. 2016</t>
  </si>
  <si>
    <t>RM 24.10.2016</t>
  </si>
  <si>
    <t>kap</t>
  </si>
  <si>
    <t>titul</t>
  </si>
  <si>
    <t>č.</t>
  </si>
  <si>
    <t>podtitul</t>
  </si>
  <si>
    <t>celkem</t>
  </si>
  <si>
    <t xml:space="preserve">celkem </t>
  </si>
  <si>
    <t>I.</t>
  </si>
  <si>
    <t>DOTACE</t>
  </si>
  <si>
    <t>Výkon st.správy</t>
  </si>
  <si>
    <t>VSS 11.633,4 tis. Kč, OSPOD 950 tis. Kč, Soc pracovník 179 tis. Kč, Pěst.péče 480 tis. Kč</t>
  </si>
  <si>
    <t>Navýšení dotace pěstouni</t>
  </si>
  <si>
    <t xml:space="preserve">Ostatní </t>
  </si>
  <si>
    <t>4,5 mil. Kč - Hasič.zbrojnice, 1 mil. Kč - rybník Komorno, 200 tis.Kč - MP Agenda Nepomuk, 20 tis. Kč přestupky od obcí</t>
  </si>
  <si>
    <t xml:space="preserve">Menší objem dotací, kdy máme RoPD </t>
  </si>
  <si>
    <t>Celkem</t>
  </si>
  <si>
    <t>II.</t>
  </si>
  <si>
    <t>DANĚ</t>
  </si>
  <si>
    <t>Daň z nemovitosti</t>
  </si>
  <si>
    <t>Sdílené daně</t>
  </si>
  <si>
    <r>
      <rPr>
        <sz val="11"/>
        <color theme="1"/>
        <rFont val="Calibri"/>
        <family val="2"/>
        <charset val="238"/>
        <scheme val="minor"/>
      </rPr>
      <t xml:space="preserve">3 % růst - předpoklad (oproti </t>
    </r>
    <r>
      <rPr>
        <u/>
        <sz val="10"/>
        <rFont val="Arial"/>
        <family val="2"/>
        <charset val="238"/>
      </rPr>
      <t>skutečnosti 2016</t>
    </r>
    <r>
      <rPr>
        <sz val="11"/>
        <color theme="1"/>
        <rFont val="Calibri"/>
        <family val="2"/>
        <charset val="238"/>
        <scheme val="minor"/>
      </rPr>
      <t>)</t>
    </r>
  </si>
  <si>
    <t>Dle prognóz</t>
  </si>
  <si>
    <t>Daň z P za město</t>
  </si>
  <si>
    <t>předpoklad výše DPPO města Blovice (neplatí se,pouze proúčtovává)</t>
  </si>
  <si>
    <t>III.</t>
  </si>
  <si>
    <t>Popl.správní</t>
  </si>
  <si>
    <t xml:space="preserve">Evidence dopravy </t>
  </si>
  <si>
    <t>Evidence obyvatel</t>
  </si>
  <si>
    <t>Živnostenské</t>
  </si>
  <si>
    <t>Stavební</t>
  </si>
  <si>
    <t>Zrušení zákonných poplatků</t>
  </si>
  <si>
    <t>Ostatní správní popl.</t>
  </si>
  <si>
    <t xml:space="preserve">VHP </t>
  </si>
  <si>
    <t>VHP</t>
  </si>
  <si>
    <t xml:space="preserve">Dle skutečnosti a makro prognóz </t>
  </si>
  <si>
    <t>Popl.místní</t>
  </si>
  <si>
    <t>Ze psů</t>
  </si>
  <si>
    <t>Z veřejného pr.</t>
  </si>
  <si>
    <t xml:space="preserve">Dle skutečnosti </t>
  </si>
  <si>
    <t>Vstupné, ubyt.kapacita, ost.</t>
  </si>
  <si>
    <t>Likv.odpadu (občané)</t>
  </si>
  <si>
    <t>Ostatní poplatky</t>
  </si>
  <si>
    <t>Autoškola, ryb.lístky….</t>
  </si>
  <si>
    <t>IV.</t>
  </si>
  <si>
    <t>KAP.PŘÍJMY</t>
  </si>
  <si>
    <t>Prodeje pozemků</t>
  </si>
  <si>
    <t>(prodeje)</t>
  </si>
  <si>
    <t>Prodeje stavebních parcel Vlčice</t>
  </si>
  <si>
    <t>Vlčice - dvě části, toto je lokalita u lesní školky</t>
  </si>
  <si>
    <t xml:space="preserve">Prodej bytů do soukr. vlastnictví </t>
  </si>
  <si>
    <t xml:space="preserve">100% na navrhovanou cenu </t>
  </si>
  <si>
    <t>Převod od byt.družstva Am.</t>
  </si>
  <si>
    <t>Pohledávky za vlast. Bytů</t>
  </si>
  <si>
    <t>V.</t>
  </si>
  <si>
    <t>NÁJMY</t>
  </si>
  <si>
    <t>Nebyt. prostory (KB)</t>
  </si>
  <si>
    <t>Ost.nebyt.prostory, pozemky</t>
  </si>
  <si>
    <t>Nájem vodovodů a kanal. (ČEVAK)</t>
  </si>
  <si>
    <t>VI.</t>
  </si>
  <si>
    <t>LESY</t>
  </si>
  <si>
    <t>Vyrovnané hospodaření</t>
  </si>
  <si>
    <t>VII.</t>
  </si>
  <si>
    <t>BYT.H.-převod na investice</t>
  </si>
  <si>
    <t>VIII.</t>
  </si>
  <si>
    <t>ZVL.PŘÍJMY</t>
  </si>
  <si>
    <t>Provoz městs.busu</t>
  </si>
  <si>
    <t xml:space="preserve">Snížení příspěvku na dopr. obsl. od KU </t>
  </si>
  <si>
    <t>Odpad.hospodářství</t>
  </si>
  <si>
    <t>Pokuty,sankce</t>
  </si>
  <si>
    <t>Koupací biotop</t>
  </si>
  <si>
    <t>příjmy v r.2016 byly 210 tis. Kč (nájem+vstupné)</t>
  </si>
  <si>
    <t>Ost.nahodilé příjmy</t>
  </si>
  <si>
    <t xml:space="preserve">Zrušení čistírny </t>
  </si>
  <si>
    <t>IX.</t>
  </si>
  <si>
    <t>FONDOVÉ HOSPODAŘENÍ (SOC.FOND)</t>
  </si>
  <si>
    <t>CELKEM PŘÍJMY PŘED KONS.</t>
  </si>
  <si>
    <t>CELKEM PŘÍJMY PO KONS.</t>
  </si>
  <si>
    <t>Výdaje - tis.Kč (porovnání každoročně opakujících se výdajů )</t>
  </si>
  <si>
    <t>VII. rozp.úprava</t>
  </si>
  <si>
    <t>Schválený rozpočet 2017</t>
  </si>
  <si>
    <t xml:space="preserve">II. rozpočtová úprava RM </t>
  </si>
  <si>
    <t xml:space="preserve">III. rozpočtová úprava RM </t>
  </si>
  <si>
    <t xml:space="preserve">IV. rozpočtová úprava RM </t>
  </si>
  <si>
    <t xml:space="preserve">V. rozpočtová úprava RM </t>
  </si>
  <si>
    <t>VII. rozpočtová úprava ZM</t>
  </si>
  <si>
    <t xml:space="preserve">Celkem </t>
  </si>
  <si>
    <t>ŠKOLSTVÍ</t>
  </si>
  <si>
    <t>ZŠ provoz</t>
  </si>
  <si>
    <t>2700 tis. Kč (provoz jako v r.2016)</t>
  </si>
  <si>
    <t>ZŠ - nákupy</t>
  </si>
  <si>
    <t xml:space="preserve">dopravní výchova 30 tis. Kč, lavičky+skříňky 120 tis. Kč, ICT výdaje 150 tis.Kč </t>
  </si>
  <si>
    <t xml:space="preserve">oprava lavic, 2xprotipož. dveře, šatní skříňky </t>
  </si>
  <si>
    <t>ZŠ-plavecká učebna</t>
  </si>
  <si>
    <t>provoz jako v r. 2016</t>
  </si>
  <si>
    <t>ZŠ-ŠJ</t>
  </si>
  <si>
    <t>dostávají se nám do ztráty díky odpisům</t>
  </si>
  <si>
    <t>ZUŠ</t>
  </si>
  <si>
    <t xml:space="preserve">ZUŠ - nákupy (odhlučnění, koncerty) </t>
  </si>
  <si>
    <t>odhlučnění učeben: ředitelna/sálek, pěvecká/bicí; 3 konzerty (místo Klub přátel hudby)</t>
  </si>
  <si>
    <t>DDM</t>
  </si>
  <si>
    <t>dle rozpisu</t>
  </si>
  <si>
    <t xml:space="preserve">REKO vnitřních prostor kanceláře </t>
  </si>
  <si>
    <t>MŠ</t>
  </si>
  <si>
    <t>MŠ-ŠJ</t>
  </si>
  <si>
    <t>SPRÁVA MĚÚ</t>
  </si>
  <si>
    <r>
      <t xml:space="preserve">Měú Blovice </t>
    </r>
    <r>
      <rPr>
        <b/>
        <sz val="10"/>
        <color indexed="53"/>
        <rFont val="Arial CE"/>
        <charset val="238"/>
      </rPr>
      <t xml:space="preserve"> (ZM odměny + MěÚ tarify +  prac. stavební)</t>
    </r>
  </si>
  <si>
    <t>navýšení platů 4 % tj. 900 tis. Kč, navýšení IT (docházkový systém) o 100 tis. Kč</t>
  </si>
  <si>
    <t>Městská policie</t>
  </si>
  <si>
    <t>navýšení platů 4 % MP</t>
  </si>
  <si>
    <t>KULTURA/SPORT</t>
  </si>
  <si>
    <t>LD provoz + noviny</t>
  </si>
  <si>
    <t xml:space="preserve">120 tis. Kč B.noviny (stejné s r.2016), provoz LD 1024 tis. Kč </t>
  </si>
  <si>
    <t>Knihovna, nákup knih</t>
  </si>
  <si>
    <t>nákup knih 180 tis. Kč (stejné s r.2016), provoz knihovna 860 tis. Kč</t>
  </si>
  <si>
    <t xml:space="preserve">Oprava jeviště II. etapa, horizont za jevištěm </t>
  </si>
  <si>
    <t>jeviště - el.rozvody,podhledy,opona,horizont</t>
  </si>
  <si>
    <t>TJ Sokol Blovice-provoz,oddíl NH</t>
  </si>
  <si>
    <t>Sokol 500 tis. Kč, NH 25 tis. Kč</t>
  </si>
  <si>
    <t>Ost.spolky+kult.akce</t>
  </si>
  <si>
    <t>300 tis.Kč spolky, 400 tis.Kč kult.akce města, 100 tis.Kč mimoprogram.dotace</t>
  </si>
  <si>
    <t xml:space="preserve">ROZVOJ MĚSTA </t>
  </si>
  <si>
    <t>Dle skut. doplatku +AD, BOZP, vybavení</t>
  </si>
  <si>
    <t>Hasič. zbrojnice</t>
  </si>
  <si>
    <t>16,5 mil. Kč - projekt.cena</t>
  </si>
  <si>
    <t>SOD 16442- FA 5500=10942</t>
  </si>
  <si>
    <t xml:space="preserve">6400 stavební RZP + dozory </t>
  </si>
  <si>
    <t xml:space="preserve">Chodník Luční ulice II. etapa </t>
  </si>
  <si>
    <t xml:space="preserve">Oček dotaci v RZP nezahrnuta </t>
  </si>
  <si>
    <t>520.300 PD Zítek + výkup pozemku</t>
  </si>
  <si>
    <t>Průmysl. zóna Fügnerova, Poplužní</t>
  </si>
  <si>
    <t>SoD Stavmonta, staveb.dozor Topinka, AD Jícha</t>
  </si>
  <si>
    <t>projektová příprava, výkup pozemku</t>
  </si>
  <si>
    <t xml:space="preserve">Dle skutečnosti projekt. výdajů </t>
  </si>
  <si>
    <t>Kontejnery s vlekem - zeleň</t>
  </si>
  <si>
    <t>(V r.2016 již obdržena dotace 913 tis.Kč, realizace v r. 2016-2017)</t>
  </si>
  <si>
    <t xml:space="preserve">V příjmech dotace </t>
  </si>
  <si>
    <t xml:space="preserve">MK 4,4 mil, odvod. 5,1 mil. </t>
  </si>
  <si>
    <t>Blovice - ul. Bohušovská, U Rybníka Na Vyhlídce</t>
  </si>
  <si>
    <t>plyn, kanalizace, 710 tis. Kč - přeložka ČEZ, geodet.práce</t>
  </si>
  <si>
    <t xml:space="preserve">odvodnění </t>
  </si>
  <si>
    <t xml:space="preserve">Dopravní terminál - spol. projekt (825 PD) budem platit </t>
  </si>
  <si>
    <t>SoD - Boula IPK s.r.o.</t>
  </si>
  <si>
    <t>otázka UZN x NEUZN, skut. spoluúč.</t>
  </si>
  <si>
    <t>15.245 tis. Kč -2 mil.Kč=13.250 tis. + AD,TD, BOZP</t>
  </si>
  <si>
    <t>MK Hájek</t>
  </si>
  <si>
    <t>MK na Hájku po vodovodu a síťařích - rozbitá, financování pomocí úvěru</t>
  </si>
  <si>
    <t xml:space="preserve">Sle skutečnosti výdajů 2018, dle SOD </t>
  </si>
  <si>
    <t xml:space="preserve">Územní studie krajiny </t>
  </si>
  <si>
    <t>projektová příprava k dotaci</t>
  </si>
  <si>
    <t xml:space="preserve">ZŠ Blovice-Vyb. kuchyně </t>
  </si>
  <si>
    <t>Propojení mezi ZUŠ a DDM, dotace KU</t>
  </si>
  <si>
    <t>Rozvoj optické sítě (spol.)</t>
  </si>
  <si>
    <t>Celkový odhad 3 mil. Kč (do více etap)</t>
  </si>
  <si>
    <t xml:space="preserve">Prostory do dvora </t>
  </si>
  <si>
    <t xml:space="preserve">Zateplení DPS Blovice II. etapa </t>
  </si>
  <si>
    <t>obnova voz.parku, PD na rek. kotelny MěÚ</t>
  </si>
  <si>
    <t xml:space="preserve">8 700 tis. N,60% dotace </t>
  </si>
  <si>
    <t>Modernizace sportovně - rekreačního areálu Blovice</t>
  </si>
  <si>
    <t xml:space="preserve">Investice MěÚ </t>
  </si>
  <si>
    <t>spoluúčast k dotaci</t>
  </si>
  <si>
    <t xml:space="preserve">Ostatní, PD, nákupy pozemků </t>
  </si>
  <si>
    <t>v tom také: Vodovod v ul. Pod lékárnou (zatím bez konkrétní částky)</t>
  </si>
  <si>
    <t>ÚDRŽBA MĚSTA</t>
  </si>
  <si>
    <r>
      <t>Voda, kanal., plyn</t>
    </r>
    <r>
      <rPr>
        <b/>
        <sz val="10"/>
        <color indexed="53"/>
        <rFont val="Arial CE"/>
        <charset val="238"/>
      </rPr>
      <t xml:space="preserve"> P=V nově kvůli dotaci </t>
    </r>
  </si>
  <si>
    <t>Opravy MK+dopr.zn.+havárie</t>
  </si>
  <si>
    <t>v r. 2016 ve výši 1.300 tis.Kč, dále opravy MK Huť a MK Dubí</t>
  </si>
  <si>
    <t xml:space="preserve">Přesun výdaje na VO </t>
  </si>
  <si>
    <t xml:space="preserve">Úklid, zimní údržba </t>
  </si>
  <si>
    <t>Zeleň, hřbitov, WC</t>
  </si>
  <si>
    <t>Odpadové hospodářství</t>
  </si>
  <si>
    <t xml:space="preserve">Zvýšení poplatků z objem svozu </t>
  </si>
  <si>
    <t>Prac.četa města</t>
  </si>
  <si>
    <t>4% navýšení mezd (v průběhu roku bude navýšeno o dotaci ÚP)</t>
  </si>
  <si>
    <t>Věř.osvětlení</t>
  </si>
  <si>
    <t>45 tis. Kč zálohy el.en. VO Hradiště, 2.405 tis. Kč platby ČEZ - VO, rozšíření o světel.body</t>
  </si>
  <si>
    <t>Z opravy MK 195 tis. + 35 tis. dotace UP</t>
  </si>
  <si>
    <t xml:space="preserve">Rozšíření svět. míst. 240 měs. </t>
  </si>
  <si>
    <t>JSDH Blovice - provoz (JPOIII)</t>
  </si>
  <si>
    <t>Mimoř.opravy, obnova, havárie</t>
  </si>
  <si>
    <t>Biotop - provoz</t>
  </si>
  <si>
    <t>dle vyúčtování spotřeby vody (za r.2015 přišlo v lednu 2016)</t>
  </si>
  <si>
    <t>Hasič. zbrojnice Hr. Lhotka - údržba objektu</t>
  </si>
  <si>
    <t>Kolowratská kaple III. etapa (spol.)</t>
  </si>
  <si>
    <t xml:space="preserve">Dofinancování přeložky vysokého vedení ČEZ </t>
  </si>
  <si>
    <t xml:space="preserve">Vlčice - nová obytná zóna </t>
  </si>
  <si>
    <t>Na dodělání prací z 2017, přijde dotace</t>
  </si>
  <si>
    <t xml:space="preserve">Zalesnění zemědělské půdy Vlčice </t>
  </si>
  <si>
    <t>RŮZNÉ VÝDAJE</t>
  </si>
  <si>
    <t>Dopr.obslužnost+provoz BUS</t>
  </si>
  <si>
    <t>navýšení tarifů + zvýšení příspěvku KU</t>
  </si>
  <si>
    <t>Úroky z úvěrů</t>
  </si>
  <si>
    <t xml:space="preserve">Postupné splác. Úv. </t>
  </si>
  <si>
    <t>Odvod daně FÚ (DPPO+DPH...)</t>
  </si>
  <si>
    <t>DPPO 1,5 mil. Kč, DPH 1 mil. Kč, daň z převodu nemov. - pro obce osvobozené</t>
  </si>
  <si>
    <t>2000 tis. DPPO za obce + 1000 tis. DPH</t>
  </si>
  <si>
    <t>Mikroregion - fin.spoluúčast</t>
  </si>
  <si>
    <t xml:space="preserve">Nevyužitá dotace na volby, optika </t>
  </si>
  <si>
    <t>Předpoklad vratky nedočerpané dotace na volby</t>
  </si>
  <si>
    <t>76 tis.dopl.volby+49 tis.OSPOD</t>
  </si>
  <si>
    <t>"Čistá Berounka" provoz svazku</t>
  </si>
  <si>
    <t>přesná částka je 6.761 Kč dle návrhu rozpočtu DSO Povodí Berounky</t>
  </si>
  <si>
    <t>Pojistné a bank.poplatky</t>
  </si>
  <si>
    <t>Drobné opravy, služby</t>
  </si>
  <si>
    <t>SOC.VĚCI</t>
  </si>
  <si>
    <t>Peč.služba</t>
  </si>
  <si>
    <t xml:space="preserve">LESY </t>
  </si>
  <si>
    <r>
      <t>FONDOVÉ HOSPODAŘENÍ (SOC.FOND)</t>
    </r>
    <r>
      <rPr>
        <b/>
        <sz val="10"/>
        <color indexed="53"/>
        <rFont val="Arial CE"/>
        <charset val="238"/>
      </rPr>
      <t xml:space="preserve">Postupné navyšován zůstatku  SF růstem mezd </t>
    </r>
  </si>
  <si>
    <t xml:space="preserve">Postupné navyšován zůstatku  SF růstem mezd, možno větší čerpání </t>
  </si>
  <si>
    <t>CELKEM VÝDAJE PŘED KONS.</t>
  </si>
  <si>
    <t>CELKEM VÝDAJE PO KONS.</t>
  </si>
  <si>
    <t>HV PO KONSOLIDACI</t>
  </si>
  <si>
    <t>Financování</t>
  </si>
  <si>
    <t>Splátky úvěrů</t>
  </si>
  <si>
    <t>Nový úvěr</t>
  </si>
  <si>
    <t>Změna stavu krátk.prostředků</t>
  </si>
  <si>
    <t>Poč.stav prostř.na účtech rozp.hosp.</t>
  </si>
  <si>
    <t>tis.Kč</t>
  </si>
  <si>
    <t>Nevyčerpané prostř. z r. 2016</t>
  </si>
  <si>
    <t>3,7 mil. Kč - nedočerpáno na hasič. zbrojnici v r. 2016</t>
  </si>
  <si>
    <t>Změna stavu prostředků rozp.hosp.</t>
  </si>
  <si>
    <t>Kon.stav prostř.na účtech rozp.hosp.</t>
  </si>
  <si>
    <t>Nutno financovat úvěrem z důvodu rekonstrukcí MK Hájek</t>
  </si>
  <si>
    <t>Poč.stav prostř. fondu</t>
  </si>
  <si>
    <t>Změna stavu prostředků fondu</t>
  </si>
  <si>
    <t>Kon.stav prostř. fondu</t>
  </si>
  <si>
    <t>PD 825 tis. Kč doplatek 2018</t>
  </si>
  <si>
    <t>Objedn. studie, předpoklad N, varné centrum</t>
  </si>
  <si>
    <t>Výkup Povodí, občané, 100 tis. opona 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</si>
</sst>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"/>
    <numFmt numFmtId="165" formatCode="0.0"/>
    <numFmt numFmtId="166" formatCode="#,##0.0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0"/>
      <color indexed="8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8"/>
      <color indexed="8"/>
      <name val="Arial CE"/>
      <charset val="238"/>
    </font>
    <font>
      <sz val="10"/>
      <color indexed="8"/>
      <name val="Arial CE"/>
      <charset val="238"/>
    </font>
    <font>
      <sz val="9"/>
      <name val="Arial"/>
      <family val="2"/>
      <charset val="238"/>
    </font>
    <font>
      <u/>
      <sz val="10"/>
      <name val="Arial"/>
      <family val="2"/>
      <charset val="238"/>
    </font>
    <font>
      <b/>
      <sz val="8"/>
      <color rgb="FFFF0000"/>
      <name val="Arial CE"/>
      <charset val="238"/>
    </font>
    <font>
      <b/>
      <u/>
      <sz val="10"/>
      <color indexed="8"/>
      <name val="Arial CE"/>
      <charset val="238"/>
    </font>
    <font>
      <i/>
      <sz val="10"/>
      <color indexed="8"/>
      <name val="Arial CE"/>
      <charset val="238"/>
    </font>
    <font>
      <b/>
      <i/>
      <sz val="10"/>
      <color indexed="8"/>
      <name val="Arial CE"/>
      <charset val="238"/>
    </font>
    <font>
      <b/>
      <i/>
      <sz val="10"/>
      <name val="Arial"/>
      <family val="2"/>
      <charset val="238"/>
    </font>
    <font>
      <b/>
      <sz val="10"/>
      <color indexed="53"/>
      <name val="Arial CE"/>
      <charset val="238"/>
    </font>
    <font>
      <b/>
      <sz val="8"/>
      <name val="Arial CE"/>
      <charset val="238"/>
    </font>
    <font>
      <b/>
      <sz val="8"/>
      <color rgb="FFFF0000"/>
      <name val="Arial"/>
      <family val="2"/>
      <charset val="238"/>
    </font>
    <font>
      <b/>
      <sz val="8"/>
      <color rgb="FFFF0000"/>
      <name val="Arial CE"/>
      <family val="2"/>
      <charset val="238"/>
    </font>
    <font>
      <sz val="8"/>
      <color rgb="FFFF0000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5" tint="0.39997558519241921"/>
        <bgColor indexed="31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31"/>
      </patternFill>
    </fill>
  </fills>
  <borders count="9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41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4" fontId="2" fillId="4" borderId="6" xfId="0" applyNumberFormat="1" applyFont="1" applyFill="1" applyBorder="1" applyAlignment="1">
      <alignment horizontal="center" vertical="center"/>
    </xf>
    <xf numFmtId="14" fontId="2" fillId="4" borderId="7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4" fontId="2" fillId="4" borderId="10" xfId="0" applyNumberFormat="1" applyFont="1" applyFill="1" applyBorder="1" applyAlignment="1">
      <alignment horizontal="center" vertical="center"/>
    </xf>
    <xf numFmtId="14" fontId="2" fillId="4" borderId="11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0" fillId="0" borderId="1" xfId="0" applyBorder="1"/>
    <xf numFmtId="0" fontId="0" fillId="0" borderId="17" xfId="0" applyBorder="1"/>
    <xf numFmtId="0" fontId="5" fillId="0" borderId="1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6" borderId="20" xfId="0" applyFont="1" applyFill="1" applyBorder="1" applyAlignment="1">
      <alignment horizontal="center"/>
    </xf>
    <xf numFmtId="0" fontId="5" fillId="7" borderId="23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Fill="1" applyBorder="1"/>
    <xf numFmtId="165" fontId="7" fillId="0" borderId="24" xfId="0" applyNumberFormat="1" applyFont="1" applyFill="1" applyBorder="1"/>
    <xf numFmtId="165" fontId="5" fillId="0" borderId="27" xfId="0" applyNumberFormat="1" applyFont="1" applyFill="1" applyBorder="1"/>
    <xf numFmtId="166" fontId="7" fillId="0" borderId="24" xfId="0" applyNumberFormat="1" applyFont="1" applyFill="1" applyBorder="1"/>
    <xf numFmtId="166" fontId="5" fillId="0" borderId="27" xfId="0" applyNumberFormat="1" applyFont="1" applyFill="1" applyBorder="1"/>
    <xf numFmtId="166" fontId="0" fillId="0" borderId="28" xfId="0" applyNumberFormat="1" applyFill="1" applyBorder="1"/>
    <xf numFmtId="0" fontId="0" fillId="0" borderId="29" xfId="0" applyFont="1" applyBorder="1"/>
    <xf numFmtId="166" fontId="5" fillId="0" borderId="26" xfId="0" applyNumberFormat="1" applyFont="1" applyFill="1" applyBorder="1"/>
    <xf numFmtId="166" fontId="8" fillId="8" borderId="1" xfId="0" applyNumberFormat="1" applyFont="1" applyFill="1" applyBorder="1"/>
    <xf numFmtId="166" fontId="7" fillId="6" borderId="24" xfId="0" applyNumberFormat="1" applyFont="1" applyFill="1" applyBorder="1"/>
    <xf numFmtId="166" fontId="5" fillId="6" borderId="27" xfId="0" applyNumberFormat="1" applyFont="1" applyFill="1" applyBorder="1"/>
    <xf numFmtId="166" fontId="7" fillId="7" borderId="23" xfId="0" applyNumberFormat="1" applyFont="1" applyFill="1" applyBorder="1"/>
    <xf numFmtId="0" fontId="0" fillId="7" borderId="23" xfId="0" applyFill="1" applyBorder="1"/>
    <xf numFmtId="166" fontId="0" fillId="0" borderId="23" xfId="0" applyNumberFormat="1" applyBorder="1"/>
    <xf numFmtId="0" fontId="0" fillId="0" borderId="23" xfId="0" applyBorder="1"/>
    <xf numFmtId="0" fontId="6" fillId="0" borderId="30" xfId="0" applyFont="1" applyBorder="1"/>
    <xf numFmtId="0" fontId="6" fillId="0" borderId="31" xfId="0" applyFont="1" applyBorder="1"/>
    <xf numFmtId="0" fontId="6" fillId="0" borderId="32" xfId="0" applyFont="1" applyBorder="1"/>
    <xf numFmtId="0" fontId="6" fillId="0" borderId="33" xfId="0" applyFont="1" applyFill="1" applyBorder="1"/>
    <xf numFmtId="165" fontId="9" fillId="0" borderId="34" xfId="0" applyNumberFormat="1" applyFont="1" applyFill="1" applyBorder="1"/>
    <xf numFmtId="165" fontId="5" fillId="0" borderId="35" xfId="0" applyNumberFormat="1" applyFont="1" applyFill="1" applyBorder="1"/>
    <xf numFmtId="166" fontId="9" fillId="0" borderId="34" xfId="0" applyNumberFormat="1" applyFont="1" applyFill="1" applyBorder="1"/>
    <xf numFmtId="166" fontId="5" fillId="0" borderId="35" xfId="0" applyNumberFormat="1" applyFont="1" applyFill="1" applyBorder="1"/>
    <xf numFmtId="0" fontId="0" fillId="0" borderId="36" xfId="0" applyFont="1" applyBorder="1" applyAlignment="1">
      <alignment horizontal="left" vertical="center" wrapText="1"/>
    </xf>
    <xf numFmtId="166" fontId="5" fillId="0" borderId="1" xfId="0" applyNumberFormat="1" applyFont="1" applyFill="1" applyBorder="1"/>
    <xf numFmtId="166" fontId="5" fillId="0" borderId="37" xfId="0" applyNumberFormat="1" applyFont="1" applyFill="1" applyBorder="1"/>
    <xf numFmtId="166" fontId="9" fillId="6" borderId="34" xfId="0" applyNumberFormat="1" applyFont="1" applyFill="1" applyBorder="1"/>
    <xf numFmtId="166" fontId="5" fillId="6" borderId="35" xfId="0" applyNumberFormat="1" applyFont="1" applyFill="1" applyBorder="1"/>
    <xf numFmtId="166" fontId="9" fillId="7" borderId="23" xfId="0" applyNumberFormat="1" applyFont="1" applyFill="1" applyBorder="1"/>
    <xf numFmtId="166" fontId="0" fillId="9" borderId="23" xfId="0" applyNumberFormat="1" applyFill="1" applyBorder="1"/>
    <xf numFmtId="0" fontId="10" fillId="9" borderId="0" xfId="0" applyFont="1" applyFill="1"/>
    <xf numFmtId="0" fontId="6" fillId="0" borderId="38" xfId="0" applyFont="1" applyBorder="1"/>
    <xf numFmtId="0" fontId="6" fillId="0" borderId="39" xfId="0" applyFont="1" applyBorder="1"/>
    <xf numFmtId="0" fontId="6" fillId="0" borderId="40" xfId="0" applyFont="1" applyFill="1" applyBorder="1"/>
    <xf numFmtId="165" fontId="9" fillId="0" borderId="38" xfId="0" applyNumberFormat="1" applyFont="1" applyFill="1" applyBorder="1"/>
    <xf numFmtId="165" fontId="5" fillId="0" borderId="41" xfId="0" applyNumberFormat="1" applyFont="1" applyFill="1" applyBorder="1"/>
    <xf numFmtId="166" fontId="9" fillId="0" borderId="38" xfId="0" applyNumberFormat="1" applyFont="1" applyFill="1" applyBorder="1"/>
    <xf numFmtId="166" fontId="5" fillId="0" borderId="41" xfId="0" applyNumberFormat="1" applyFont="1" applyFill="1" applyBorder="1"/>
    <xf numFmtId="166" fontId="3" fillId="0" borderId="28" xfId="0" applyNumberFormat="1" applyFont="1" applyFill="1" applyBorder="1"/>
    <xf numFmtId="166" fontId="5" fillId="0" borderId="40" xfId="0" applyNumberFormat="1" applyFont="1" applyFill="1" applyBorder="1"/>
    <xf numFmtId="166" fontId="9" fillId="6" borderId="38" xfId="0" applyNumberFormat="1" applyFont="1" applyFill="1" applyBorder="1"/>
    <xf numFmtId="166" fontId="5" fillId="6" borderId="41" xfId="0" applyNumberFormat="1" applyFont="1" applyFill="1" applyBorder="1"/>
    <xf numFmtId="166" fontId="5" fillId="7" borderId="23" xfId="0" applyNumberFormat="1" applyFont="1" applyFill="1" applyBorder="1"/>
    <xf numFmtId="166" fontId="3" fillId="0" borderId="23" xfId="0" applyNumberFormat="1" applyFont="1" applyBorder="1"/>
    <xf numFmtId="0" fontId="6" fillId="0" borderId="34" xfId="0" applyFont="1" applyBorder="1"/>
    <xf numFmtId="0" fontId="6" fillId="0" borderId="42" xfId="0" applyFont="1" applyBorder="1"/>
    <xf numFmtId="0" fontId="6" fillId="0" borderId="37" xfId="0" applyFont="1" applyFill="1" applyBorder="1"/>
    <xf numFmtId="166" fontId="9" fillId="0" borderId="24" xfId="0" applyNumberFormat="1" applyFont="1" applyFill="1" applyBorder="1"/>
    <xf numFmtId="166" fontId="0" fillId="0" borderId="17" xfId="0" applyNumberFormat="1" applyFill="1" applyBorder="1"/>
    <xf numFmtId="0" fontId="0" fillId="0" borderId="36" xfId="0" applyBorder="1"/>
    <xf numFmtId="166" fontId="9" fillId="6" borderId="24" xfId="0" applyNumberFormat="1" applyFont="1" applyFill="1" applyBorder="1"/>
    <xf numFmtId="166" fontId="9" fillId="7" borderId="43" xfId="0" applyNumberFormat="1" applyFont="1" applyFill="1" applyBorder="1"/>
    <xf numFmtId="166" fontId="5" fillId="7" borderId="44" xfId="0" applyNumberFormat="1" applyFont="1" applyFill="1" applyBorder="1"/>
    <xf numFmtId="0" fontId="6" fillId="0" borderId="45" xfId="0" applyFont="1" applyBorder="1"/>
    <xf numFmtId="0" fontId="6" fillId="0" borderId="46" xfId="0" applyFont="1" applyFill="1" applyBorder="1"/>
    <xf numFmtId="165" fontId="9" fillId="0" borderId="45" xfId="0" applyNumberFormat="1" applyFont="1" applyFill="1" applyBorder="1"/>
    <xf numFmtId="165" fontId="5" fillId="0" borderId="33" xfId="0" applyNumberFormat="1" applyFont="1" applyFill="1" applyBorder="1"/>
    <xf numFmtId="166" fontId="9" fillId="0" borderId="45" xfId="0" applyNumberFormat="1" applyFont="1" applyFill="1" applyBorder="1"/>
    <xf numFmtId="166" fontId="5" fillId="0" borderId="33" xfId="0" applyNumberFormat="1" applyFont="1" applyFill="1" applyBorder="1"/>
    <xf numFmtId="166" fontId="5" fillId="0" borderId="46" xfId="0" applyNumberFormat="1" applyFont="1" applyFill="1" applyBorder="1"/>
    <xf numFmtId="166" fontId="9" fillId="6" borderId="45" xfId="0" applyNumberFormat="1" applyFont="1" applyFill="1" applyBorder="1"/>
    <xf numFmtId="166" fontId="5" fillId="6" borderId="33" xfId="0" applyNumberFormat="1" applyFont="1" applyFill="1" applyBorder="1"/>
    <xf numFmtId="166" fontId="9" fillId="7" borderId="47" xfId="0" applyNumberFormat="1" applyFont="1" applyFill="1" applyBorder="1"/>
    <xf numFmtId="166" fontId="5" fillId="7" borderId="48" xfId="0" applyNumberFormat="1" applyFont="1" applyFill="1" applyBorder="1"/>
    <xf numFmtId="0" fontId="0" fillId="9" borderId="0" xfId="0" applyFill="1"/>
    <xf numFmtId="166" fontId="3" fillId="0" borderId="49" xfId="0" applyNumberFormat="1" applyFont="1" applyFill="1" applyBorder="1"/>
    <xf numFmtId="166" fontId="9" fillId="7" borderId="50" xfId="0" applyNumberFormat="1" applyFont="1" applyFill="1" applyBorder="1"/>
    <xf numFmtId="166" fontId="5" fillId="7" borderId="51" xfId="0" applyNumberFormat="1" applyFont="1" applyFill="1" applyBorder="1"/>
    <xf numFmtId="166" fontId="9" fillId="7" borderId="52" xfId="0" applyNumberFormat="1" applyFont="1" applyFill="1" applyBorder="1"/>
    <xf numFmtId="166" fontId="5" fillId="7" borderId="53" xfId="0" applyNumberFormat="1" applyFont="1" applyFill="1" applyBorder="1"/>
    <xf numFmtId="0" fontId="6" fillId="0" borderId="54" xfId="0" applyFont="1" applyBorder="1"/>
    <xf numFmtId="0" fontId="6" fillId="0" borderId="55" xfId="0" applyFont="1" applyBorder="1"/>
    <xf numFmtId="0" fontId="6" fillId="0" borderId="56" xfId="0" applyFont="1" applyFill="1" applyBorder="1"/>
    <xf numFmtId="165" fontId="9" fillId="0" borderId="54" xfId="0" applyNumberFormat="1" applyFont="1" applyFill="1" applyBorder="1"/>
    <xf numFmtId="165" fontId="5" fillId="0" borderId="57" xfId="0" applyNumberFormat="1" applyFont="1" applyFill="1" applyBorder="1"/>
    <xf numFmtId="166" fontId="9" fillId="0" borderId="54" xfId="0" applyNumberFormat="1" applyFont="1" applyFill="1" applyBorder="1"/>
    <xf numFmtId="166" fontId="5" fillId="0" borderId="57" xfId="0" applyNumberFormat="1" applyFont="1" applyFill="1" applyBorder="1"/>
    <xf numFmtId="166" fontId="5" fillId="0" borderId="56" xfId="0" applyNumberFormat="1" applyFont="1" applyFill="1" applyBorder="1"/>
    <xf numFmtId="166" fontId="9" fillId="6" borderId="54" xfId="0" applyNumberFormat="1" applyFont="1" applyFill="1" applyBorder="1"/>
    <xf numFmtId="166" fontId="5" fillId="6" borderId="57" xfId="0" applyNumberFormat="1" applyFont="1" applyFill="1" applyBorder="1"/>
    <xf numFmtId="166" fontId="9" fillId="7" borderId="58" xfId="0" applyNumberFormat="1" applyFont="1" applyFill="1" applyBorder="1"/>
    <xf numFmtId="166" fontId="5" fillId="7" borderId="59" xfId="0" applyNumberFormat="1" applyFont="1" applyFill="1" applyBorder="1"/>
    <xf numFmtId="165" fontId="9" fillId="0" borderId="24" xfId="0" applyNumberFormat="1" applyFont="1" applyFill="1" applyBorder="1"/>
    <xf numFmtId="166" fontId="12" fillId="6" borderId="33" xfId="0" applyNumberFormat="1" applyFont="1" applyFill="1" applyBorder="1"/>
    <xf numFmtId="0" fontId="0" fillId="0" borderId="36" xfId="0" applyFill="1" applyBorder="1"/>
    <xf numFmtId="166" fontId="12" fillId="6" borderId="57" xfId="0" applyNumberFormat="1" applyFont="1" applyFill="1" applyBorder="1"/>
    <xf numFmtId="0" fontId="6" fillId="0" borderId="25" xfId="0" applyFont="1" applyFill="1" applyBorder="1"/>
    <xf numFmtId="0" fontId="6" fillId="0" borderId="42" xfId="0" applyFont="1" applyFill="1" applyBorder="1"/>
    <xf numFmtId="166" fontId="0" fillId="0" borderId="28" xfId="0" applyNumberFormat="1" applyBorder="1"/>
    <xf numFmtId="0" fontId="6" fillId="0" borderId="55" xfId="0" applyFont="1" applyFill="1" applyBorder="1"/>
    <xf numFmtId="0" fontId="6" fillId="0" borderId="39" xfId="0" applyFont="1" applyFill="1" applyBorder="1"/>
    <xf numFmtId="0" fontId="6" fillId="0" borderId="60" xfId="0" applyFont="1" applyBorder="1"/>
    <xf numFmtId="0" fontId="6" fillId="0" borderId="20" xfId="0" applyFont="1" applyFill="1" applyBorder="1" applyAlignment="1">
      <alignment horizontal="left"/>
    </xf>
    <xf numFmtId="165" fontId="9" fillId="0" borderId="60" xfId="0" applyNumberFormat="1" applyFont="1" applyFill="1" applyBorder="1"/>
    <xf numFmtId="165" fontId="5" fillId="0" borderId="20" xfId="0" applyNumberFormat="1" applyFont="1" applyFill="1" applyBorder="1"/>
    <xf numFmtId="166" fontId="9" fillId="0" borderId="60" xfId="0" applyNumberFormat="1" applyFont="1" applyFill="1" applyBorder="1"/>
    <xf numFmtId="166" fontId="5" fillId="0" borderId="20" xfId="0" applyNumberFormat="1" applyFont="1" applyFill="1" applyBorder="1"/>
    <xf numFmtId="166" fontId="3" fillId="0" borderId="1" xfId="0" applyNumberFormat="1" applyFont="1" applyFill="1" applyBorder="1"/>
    <xf numFmtId="166" fontId="5" fillId="0" borderId="22" xfId="0" applyNumberFormat="1" applyFont="1" applyFill="1" applyBorder="1"/>
    <xf numFmtId="166" fontId="9" fillId="6" borderId="60" xfId="0" applyNumberFormat="1" applyFont="1" applyFill="1" applyBorder="1"/>
    <xf numFmtId="166" fontId="5" fillId="6" borderId="20" xfId="0" applyNumberFormat="1" applyFont="1" applyFill="1" applyBorder="1"/>
    <xf numFmtId="166" fontId="9" fillId="7" borderId="61" xfId="0" applyNumberFormat="1" applyFont="1" applyFill="1" applyBorder="1"/>
    <xf numFmtId="166" fontId="5" fillId="7" borderId="62" xfId="0" applyNumberFormat="1" applyFont="1" applyFill="1" applyBorder="1"/>
    <xf numFmtId="0" fontId="6" fillId="0" borderId="60" xfId="0" applyFont="1" applyFill="1" applyBorder="1"/>
    <xf numFmtId="0" fontId="6" fillId="0" borderId="24" xfId="0" applyFont="1" applyFill="1" applyBorder="1"/>
    <xf numFmtId="0" fontId="6" fillId="0" borderId="27" xfId="0" applyFont="1" applyFill="1" applyBorder="1" applyAlignment="1">
      <alignment horizontal="left"/>
    </xf>
    <xf numFmtId="165" fontId="13" fillId="0" borderId="27" xfId="0" applyNumberFormat="1" applyFont="1" applyFill="1" applyBorder="1"/>
    <xf numFmtId="166" fontId="13" fillId="0" borderId="27" xfId="0" applyNumberFormat="1" applyFont="1" applyFill="1" applyBorder="1"/>
    <xf numFmtId="166" fontId="13" fillId="0" borderId="26" xfId="0" applyNumberFormat="1" applyFont="1" applyFill="1" applyBorder="1"/>
    <xf numFmtId="166" fontId="13" fillId="6" borderId="27" xfId="0" applyNumberFormat="1" applyFont="1" applyFill="1" applyBorder="1"/>
    <xf numFmtId="166" fontId="13" fillId="7" borderId="44" xfId="0" applyNumberFormat="1" applyFont="1" applyFill="1" applyBorder="1"/>
    <xf numFmtId="0" fontId="6" fillId="0" borderId="38" xfId="0" applyFont="1" applyFill="1" applyBorder="1"/>
    <xf numFmtId="0" fontId="6" fillId="0" borderId="41" xfId="0" applyFont="1" applyFill="1" applyBorder="1" applyAlignment="1">
      <alignment horizontal="left"/>
    </xf>
    <xf numFmtId="165" fontId="13" fillId="0" borderId="41" xfId="0" applyNumberFormat="1" applyFont="1" applyFill="1" applyBorder="1"/>
    <xf numFmtId="166" fontId="13" fillId="0" borderId="41" xfId="0" applyNumberFormat="1" applyFont="1" applyFill="1" applyBorder="1"/>
    <xf numFmtId="0" fontId="0" fillId="0" borderId="63" xfId="0" applyBorder="1"/>
    <xf numFmtId="166" fontId="13" fillId="0" borderId="40" xfId="0" applyNumberFormat="1" applyFont="1" applyFill="1" applyBorder="1"/>
    <xf numFmtId="166" fontId="13" fillId="6" borderId="41" xfId="0" applyNumberFormat="1" applyFont="1" applyFill="1" applyBorder="1"/>
    <xf numFmtId="166" fontId="13" fillId="7" borderId="51" xfId="0" applyNumberFormat="1" applyFont="1" applyFill="1" applyBorder="1"/>
    <xf numFmtId="0" fontId="1" fillId="2" borderId="2" xfId="0" applyFont="1" applyFill="1" applyBorder="1" applyAlignment="1">
      <alignment vertical="center"/>
    </xf>
    <xf numFmtId="0" fontId="1" fillId="2" borderId="6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164" fontId="2" fillId="2" borderId="64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4" fontId="2" fillId="8" borderId="65" xfId="0" applyNumberFormat="1" applyFont="1" applyFill="1" applyBorder="1" applyAlignment="1">
      <alignment horizontal="center" vertical="center"/>
    </xf>
    <xf numFmtId="14" fontId="2" fillId="8" borderId="66" xfId="0" applyNumberFormat="1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67" xfId="0" applyFill="1" applyBorder="1" applyAlignment="1">
      <alignment horizontal="center" vertical="center"/>
    </xf>
    <xf numFmtId="0" fontId="0" fillId="0" borderId="0" xfId="0" applyFill="1"/>
    <xf numFmtId="0" fontId="4" fillId="0" borderId="60" xfId="0" applyFont="1" applyBorder="1"/>
    <xf numFmtId="0" fontId="4" fillId="0" borderId="68" xfId="0" applyFont="1" applyFill="1" applyBorder="1"/>
    <xf numFmtId="0" fontId="4" fillId="0" borderId="22" xfId="0" applyFont="1" applyFill="1" applyBorder="1"/>
    <xf numFmtId="0" fontId="14" fillId="0" borderId="60" xfId="0" applyFont="1" applyFill="1" applyBorder="1" applyAlignment="1">
      <alignment horizontal="center"/>
    </xf>
    <xf numFmtId="0" fontId="15" fillId="0" borderId="69" xfId="0" applyFont="1" applyFill="1" applyBorder="1" applyAlignment="1">
      <alignment horizontal="center"/>
    </xf>
    <xf numFmtId="0" fontId="0" fillId="0" borderId="49" xfId="0" applyBorder="1"/>
    <xf numFmtId="0" fontId="15" fillId="0" borderId="7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0" fontId="15" fillId="0" borderId="68" xfId="0" applyFont="1" applyFill="1" applyBorder="1" applyAlignment="1">
      <alignment horizontal="center"/>
    </xf>
    <xf numFmtId="0" fontId="14" fillId="6" borderId="21" xfId="0" applyFont="1" applyFill="1" applyBorder="1" applyAlignment="1">
      <alignment horizontal="center"/>
    </xf>
    <xf numFmtId="0" fontId="15" fillId="6" borderId="69" xfId="0" applyFont="1" applyFill="1" applyBorder="1" applyAlignment="1">
      <alignment horizontal="center"/>
    </xf>
    <xf numFmtId="0" fontId="14" fillId="7" borderId="61" xfId="0" applyFont="1" applyFill="1" applyBorder="1" applyAlignment="1">
      <alignment horizontal="center"/>
    </xf>
    <xf numFmtId="0" fontId="15" fillId="7" borderId="71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165" fontId="2" fillId="0" borderId="27" xfId="0" applyNumberFormat="1" applyFont="1" applyFill="1" applyBorder="1"/>
    <xf numFmtId="166" fontId="2" fillId="0" borderId="27" xfId="0" applyNumberFormat="1" applyFont="1" applyFill="1" applyBorder="1"/>
    <xf numFmtId="0" fontId="0" fillId="0" borderId="72" xfId="0" applyFont="1" applyFill="1" applyBorder="1"/>
    <xf numFmtId="166" fontId="2" fillId="0" borderId="26" xfId="0" applyNumberFormat="1" applyFont="1" applyFill="1" applyBorder="1"/>
    <xf numFmtId="166" fontId="2" fillId="0" borderId="1" xfId="0" applyNumberFormat="1" applyFont="1" applyFill="1" applyBorder="1"/>
    <xf numFmtId="166" fontId="2" fillId="6" borderId="27" xfId="0" applyNumberFormat="1" applyFont="1" applyFill="1" applyBorder="1"/>
    <xf numFmtId="166" fontId="7" fillId="7" borderId="43" xfId="0" applyNumberFormat="1" applyFont="1" applyFill="1" applyBorder="1"/>
    <xf numFmtId="166" fontId="2" fillId="7" borderId="44" xfId="0" applyNumberFormat="1" applyFont="1" applyFill="1" applyBorder="1"/>
    <xf numFmtId="165" fontId="7" fillId="0" borderId="34" xfId="0" applyNumberFormat="1" applyFont="1" applyFill="1" applyBorder="1"/>
    <xf numFmtId="165" fontId="2" fillId="0" borderId="35" xfId="0" applyNumberFormat="1" applyFont="1" applyFill="1" applyBorder="1"/>
    <xf numFmtId="166" fontId="7" fillId="0" borderId="34" xfId="0" applyNumberFormat="1" applyFont="1" applyFill="1" applyBorder="1"/>
    <xf numFmtId="166" fontId="2" fillId="0" borderId="35" xfId="0" applyNumberFormat="1" applyFont="1" applyFill="1" applyBorder="1"/>
    <xf numFmtId="166" fontId="2" fillId="0" borderId="37" xfId="0" applyNumberFormat="1" applyFont="1" applyFill="1" applyBorder="1"/>
    <xf numFmtId="166" fontId="7" fillId="6" borderId="34" xfId="0" applyNumberFormat="1" applyFont="1" applyFill="1" applyBorder="1"/>
    <xf numFmtId="166" fontId="12" fillId="6" borderId="35" xfId="0" applyNumberFormat="1" applyFont="1" applyFill="1" applyBorder="1"/>
    <xf numFmtId="166" fontId="7" fillId="7" borderId="52" xfId="0" applyNumberFormat="1" applyFont="1" applyFill="1" applyBorder="1"/>
    <xf numFmtId="166" fontId="2" fillId="7" borderId="53" xfId="0" applyNumberFormat="1" applyFont="1" applyFill="1" applyBorder="1"/>
    <xf numFmtId="165" fontId="7" fillId="0" borderId="45" xfId="0" applyNumberFormat="1" applyFont="1" applyFill="1" applyBorder="1"/>
    <xf numFmtId="165" fontId="2" fillId="0" borderId="33" xfId="0" applyNumberFormat="1" applyFont="1" applyFill="1" applyBorder="1"/>
    <xf numFmtId="166" fontId="7" fillId="0" borderId="45" xfId="0" applyNumberFormat="1" applyFont="1" applyFill="1" applyBorder="1"/>
    <xf numFmtId="166" fontId="2" fillId="0" borderId="33" xfId="0" applyNumberFormat="1" applyFont="1" applyFill="1" applyBorder="1"/>
    <xf numFmtId="166" fontId="2" fillId="0" borderId="46" xfId="0" applyNumberFormat="1" applyFont="1" applyFill="1" applyBorder="1"/>
    <xf numFmtId="166" fontId="7" fillId="6" borderId="45" xfId="0" applyNumberFormat="1" applyFont="1" applyFill="1" applyBorder="1"/>
    <xf numFmtId="166" fontId="2" fillId="6" borderId="33" xfId="0" applyNumberFormat="1" applyFont="1" applyFill="1" applyBorder="1"/>
    <xf numFmtId="166" fontId="7" fillId="7" borderId="47" xfId="0" applyNumberFormat="1" applyFont="1" applyFill="1" applyBorder="1"/>
    <xf numFmtId="166" fontId="2" fillId="7" borderId="48" xfId="0" applyNumberFormat="1" applyFont="1" applyFill="1" applyBorder="1"/>
    <xf numFmtId="0" fontId="6" fillId="0" borderId="32" xfId="0" applyFont="1" applyFill="1" applyBorder="1"/>
    <xf numFmtId="165" fontId="7" fillId="0" borderId="38" xfId="0" applyNumberFormat="1" applyFont="1" applyFill="1" applyBorder="1"/>
    <xf numFmtId="165" fontId="2" fillId="0" borderId="41" xfId="0" applyNumberFormat="1" applyFont="1" applyFill="1" applyBorder="1" applyProtection="1">
      <protection locked="0"/>
    </xf>
    <xf numFmtId="166" fontId="7" fillId="0" borderId="38" xfId="0" applyNumberFormat="1" applyFont="1" applyFill="1" applyBorder="1"/>
    <xf numFmtId="166" fontId="2" fillId="0" borderId="41" xfId="0" applyNumberFormat="1" applyFont="1" applyFill="1" applyBorder="1" applyProtection="1">
      <protection locked="0"/>
    </xf>
    <xf numFmtId="166" fontId="2" fillId="0" borderId="40" xfId="0" applyNumberFormat="1" applyFont="1" applyFill="1" applyBorder="1" applyProtection="1">
      <protection locked="0"/>
    </xf>
    <xf numFmtId="166" fontId="7" fillId="6" borderId="38" xfId="0" applyNumberFormat="1" applyFont="1" applyFill="1" applyBorder="1"/>
    <xf numFmtId="166" fontId="2" fillId="6" borderId="41" xfId="0" applyNumberFormat="1" applyFont="1" applyFill="1" applyBorder="1" applyProtection="1">
      <protection locked="0"/>
    </xf>
    <xf numFmtId="166" fontId="7" fillId="7" borderId="50" xfId="0" applyNumberFormat="1" applyFont="1" applyFill="1" applyBorder="1"/>
    <xf numFmtId="166" fontId="2" fillId="7" borderId="51" xfId="0" applyNumberFormat="1" applyFont="1" applyFill="1" applyBorder="1" applyProtection="1">
      <protection locked="0"/>
    </xf>
    <xf numFmtId="165" fontId="7" fillId="9" borderId="24" xfId="0" applyNumberFormat="1" applyFont="1" applyFill="1" applyBorder="1"/>
    <xf numFmtId="165" fontId="2" fillId="9" borderId="27" xfId="0" applyNumberFormat="1" applyFont="1" applyFill="1" applyBorder="1"/>
    <xf numFmtId="166" fontId="7" fillId="9" borderId="24" xfId="0" applyNumberFormat="1" applyFont="1" applyFill="1" applyBorder="1"/>
    <xf numFmtId="166" fontId="2" fillId="9" borderId="27" xfId="0" applyNumberFormat="1" applyFont="1" applyFill="1" applyBorder="1"/>
    <xf numFmtId="166" fontId="0" fillId="9" borderId="17" xfId="0" applyNumberFormat="1" applyFill="1" applyBorder="1"/>
    <xf numFmtId="0" fontId="0" fillId="9" borderId="36" xfId="0" applyFill="1" applyBorder="1"/>
    <xf numFmtId="166" fontId="2" fillId="9" borderId="26" xfId="0" applyNumberFormat="1" applyFont="1" applyFill="1" applyBorder="1"/>
    <xf numFmtId="166" fontId="18" fillId="9" borderId="1" xfId="0" applyNumberFormat="1" applyFont="1" applyFill="1" applyBorder="1"/>
    <xf numFmtId="165" fontId="2" fillId="0" borderId="41" xfId="0" applyNumberFormat="1" applyFont="1" applyFill="1" applyBorder="1"/>
    <xf numFmtId="166" fontId="2" fillId="0" borderId="41" xfId="0" applyNumberFormat="1" applyFont="1" applyFill="1" applyBorder="1"/>
    <xf numFmtId="166" fontId="2" fillId="0" borderId="40" xfId="0" applyNumberFormat="1" applyFont="1" applyFill="1" applyBorder="1"/>
    <xf numFmtId="166" fontId="2" fillId="6" borderId="41" xfId="0" applyNumberFormat="1" applyFont="1" applyFill="1" applyBorder="1"/>
    <xf numFmtId="166" fontId="2" fillId="7" borderId="51" xfId="0" applyNumberFormat="1" applyFont="1" applyFill="1" applyBorder="1"/>
    <xf numFmtId="166" fontId="0" fillId="0" borderId="17" xfId="0" applyNumberFormat="1" applyBorder="1"/>
    <xf numFmtId="166" fontId="7" fillId="0" borderId="33" xfId="0" applyNumberFormat="1" applyFont="1" applyFill="1" applyBorder="1"/>
    <xf numFmtId="166" fontId="7" fillId="0" borderId="46" xfId="0" applyNumberFormat="1" applyFont="1" applyFill="1" applyBorder="1"/>
    <xf numFmtId="166" fontId="7" fillId="6" borderId="33" xfId="0" applyNumberFormat="1" applyFont="1" applyFill="1" applyBorder="1"/>
    <xf numFmtId="166" fontId="7" fillId="7" borderId="48" xfId="0" applyNumberFormat="1" applyFont="1" applyFill="1" applyBorder="1"/>
    <xf numFmtId="0" fontId="6" fillId="0" borderId="41" xfId="0" applyFont="1" applyFill="1" applyBorder="1"/>
    <xf numFmtId="0" fontId="12" fillId="0" borderId="25" xfId="0" applyFont="1" applyFill="1" applyBorder="1"/>
    <xf numFmtId="0" fontId="6" fillId="0" borderId="27" xfId="0" applyFont="1" applyFill="1" applyBorder="1"/>
    <xf numFmtId="165" fontId="7" fillId="0" borderId="12" xfId="0" applyNumberFormat="1" applyFont="1" applyFill="1" applyBorder="1"/>
    <xf numFmtId="165" fontId="2" fillId="0" borderId="73" xfId="0" applyNumberFormat="1" applyFont="1" applyFill="1" applyBorder="1"/>
    <xf numFmtId="166" fontId="7" fillId="0" borderId="12" xfId="0" applyNumberFormat="1" applyFont="1" applyFill="1" applyBorder="1"/>
    <xf numFmtId="166" fontId="2" fillId="0" borderId="73" xfId="0" applyNumberFormat="1" applyFont="1" applyFill="1" applyBorder="1"/>
    <xf numFmtId="166" fontId="12" fillId="6" borderId="27" xfId="0" applyNumberFormat="1" applyFont="1" applyFill="1" applyBorder="1"/>
    <xf numFmtId="166" fontId="19" fillId="0" borderId="0" xfId="0" applyNumberFormat="1" applyFont="1"/>
    <xf numFmtId="0" fontId="20" fillId="0" borderId="31" xfId="0" applyFont="1" applyFill="1" applyBorder="1"/>
    <xf numFmtId="0" fontId="6" fillId="0" borderId="70" xfId="0" applyFont="1" applyFill="1" applyBorder="1"/>
    <xf numFmtId="165" fontId="7" fillId="0" borderId="30" xfId="0" applyNumberFormat="1" applyFont="1" applyFill="1" applyBorder="1"/>
    <xf numFmtId="165" fontId="2" fillId="0" borderId="69" xfId="0" applyNumberFormat="1" applyFont="1" applyFill="1" applyBorder="1"/>
    <xf numFmtId="166" fontId="7" fillId="0" borderId="30" xfId="0" applyNumberFormat="1" applyFont="1" applyFill="1" applyBorder="1"/>
    <xf numFmtId="166" fontId="2" fillId="0" borderId="69" xfId="0" applyNumberFormat="1" applyFont="1" applyFill="1" applyBorder="1"/>
    <xf numFmtId="166" fontId="2" fillId="0" borderId="70" xfId="0" applyNumberFormat="1" applyFont="1" applyFill="1" applyBorder="1"/>
    <xf numFmtId="166" fontId="7" fillId="6" borderId="30" xfId="0" applyNumberFormat="1" applyFont="1" applyFill="1" applyBorder="1"/>
    <xf numFmtId="166" fontId="12" fillId="6" borderId="69" xfId="0" applyNumberFormat="1" applyFont="1" applyFill="1" applyBorder="1"/>
    <xf numFmtId="0" fontId="20" fillId="0" borderId="55" xfId="0" applyFont="1" applyFill="1" applyBorder="1"/>
    <xf numFmtId="165" fontId="7" fillId="0" borderId="54" xfId="0" applyNumberFormat="1" applyFont="1" applyFill="1" applyBorder="1"/>
    <xf numFmtId="165" fontId="2" fillId="0" borderId="57" xfId="0" applyNumberFormat="1" applyFont="1" applyFill="1" applyBorder="1"/>
    <xf numFmtId="166" fontId="7" fillId="0" borderId="54" xfId="0" applyNumberFormat="1" applyFont="1" applyFill="1" applyBorder="1"/>
    <xf numFmtId="166" fontId="2" fillId="0" borderId="57" xfId="0" applyNumberFormat="1" applyFont="1" applyFill="1" applyBorder="1"/>
    <xf numFmtId="166" fontId="2" fillId="0" borderId="56" xfId="0" applyNumberFormat="1" applyFont="1" applyFill="1" applyBorder="1"/>
    <xf numFmtId="166" fontId="7" fillId="6" borderId="54" xfId="0" applyNumberFormat="1" applyFont="1" applyFill="1" applyBorder="1"/>
    <xf numFmtId="166" fontId="0" fillId="0" borderId="0" xfId="0" applyNumberFormat="1"/>
    <xf numFmtId="166" fontId="12" fillId="0" borderId="57" xfId="0" applyNumberFormat="1" applyFont="1" applyFill="1" applyBorder="1"/>
    <xf numFmtId="166" fontId="19" fillId="6" borderId="35" xfId="0" applyNumberFormat="1" applyFont="1" applyFill="1" applyBorder="1"/>
    <xf numFmtId="166" fontId="21" fillId="0" borderId="0" xfId="0" applyNumberFormat="1" applyFont="1"/>
    <xf numFmtId="0" fontId="12" fillId="0" borderId="55" xfId="0" applyFont="1" applyFill="1" applyBorder="1"/>
    <xf numFmtId="166" fontId="2" fillId="6" borderId="57" xfId="0" applyNumberFormat="1" applyFont="1" applyFill="1" applyBorder="1"/>
    <xf numFmtId="0" fontId="6" fillId="0" borderId="74" xfId="0" applyFont="1" applyFill="1" applyBorder="1"/>
    <xf numFmtId="0" fontId="6" fillId="0" borderId="18" xfId="0" applyFont="1" applyFill="1" applyBorder="1"/>
    <xf numFmtId="166" fontId="0" fillId="0" borderId="0" xfId="0" applyNumberFormat="1" applyBorder="1"/>
    <xf numFmtId="0" fontId="2" fillId="0" borderId="26" xfId="0" applyFont="1" applyFill="1" applyBorder="1"/>
    <xf numFmtId="166" fontId="7" fillId="7" borderId="1" xfId="0" applyNumberFormat="1" applyFont="1" applyFill="1" applyBorder="1"/>
    <xf numFmtId="166" fontId="2" fillId="7" borderId="1" xfId="0" applyNumberFormat="1" applyFont="1" applyFill="1" applyBorder="1"/>
    <xf numFmtId="166" fontId="0" fillId="0" borderId="1" xfId="0" applyNumberFormat="1" applyBorder="1"/>
    <xf numFmtId="166" fontId="18" fillId="5" borderId="1" xfId="0" applyNumberFormat="1" applyFont="1" applyFill="1" applyBorder="1"/>
    <xf numFmtId="0" fontId="20" fillId="0" borderId="32" xfId="0" applyFont="1" applyFill="1" applyBorder="1"/>
    <xf numFmtId="0" fontId="0" fillId="7" borderId="1" xfId="0" applyFill="1" applyBorder="1"/>
    <xf numFmtId="166" fontId="0" fillId="7" borderId="1" xfId="0" applyNumberFormat="1" applyFill="1" applyBorder="1"/>
    <xf numFmtId="166" fontId="7" fillId="0" borderId="75" xfId="0" applyNumberFormat="1" applyFont="1" applyFill="1" applyBorder="1"/>
    <xf numFmtId="165" fontId="7" fillId="6" borderId="24" xfId="0" applyNumberFormat="1" applyFont="1" applyFill="1" applyBorder="1"/>
    <xf numFmtId="165" fontId="2" fillId="6" borderId="27" xfId="0" applyNumberFormat="1" applyFont="1" applyFill="1" applyBorder="1"/>
    <xf numFmtId="166" fontId="0" fillId="6" borderId="17" xfId="0" applyNumberFormat="1" applyFill="1" applyBorder="1"/>
    <xf numFmtId="0" fontId="0" fillId="6" borderId="36" xfId="0" applyFill="1" applyBorder="1"/>
    <xf numFmtId="166" fontId="2" fillId="6" borderId="26" xfId="0" applyNumberFormat="1" applyFont="1" applyFill="1" applyBorder="1"/>
    <xf numFmtId="166" fontId="2" fillId="6" borderId="1" xfId="0" applyNumberFormat="1" applyFont="1" applyFill="1" applyBorder="1"/>
    <xf numFmtId="166" fontId="7" fillId="7" borderId="58" xfId="0" applyNumberFormat="1" applyFont="1" applyFill="1" applyBorder="1"/>
    <xf numFmtId="166" fontId="2" fillId="10" borderId="26" xfId="0" applyNumberFormat="1" applyFont="1" applyFill="1" applyBorder="1"/>
    <xf numFmtId="166" fontId="18" fillId="10" borderId="1" xfId="0" applyNumberFormat="1" applyFont="1" applyFill="1" applyBorder="1"/>
    <xf numFmtId="166" fontId="2" fillId="7" borderId="59" xfId="0" applyNumberFormat="1" applyFont="1" applyFill="1" applyBorder="1"/>
    <xf numFmtId="166" fontId="7" fillId="0" borderId="57" xfId="0" applyNumberFormat="1" applyFont="1" applyFill="1" applyBorder="1"/>
    <xf numFmtId="166" fontId="7" fillId="0" borderId="56" xfId="0" applyNumberFormat="1" applyFont="1" applyFill="1" applyBorder="1"/>
    <xf numFmtId="166" fontId="7" fillId="6" borderId="57" xfId="0" applyNumberFormat="1" applyFont="1" applyFill="1" applyBorder="1"/>
    <xf numFmtId="0" fontId="6" fillId="0" borderId="68" xfId="0" applyFont="1" applyFill="1" applyBorder="1"/>
    <xf numFmtId="0" fontId="6" fillId="0" borderId="22" xfId="0" applyFont="1" applyFill="1" applyBorder="1"/>
    <xf numFmtId="165" fontId="2" fillId="0" borderId="20" xfId="0" applyNumberFormat="1" applyFont="1" applyFill="1" applyBorder="1"/>
    <xf numFmtId="166" fontId="2" fillId="0" borderId="20" xfId="0" applyNumberFormat="1" applyFont="1" applyFill="1" applyBorder="1"/>
    <xf numFmtId="166" fontId="2" fillId="0" borderId="22" xfId="0" applyNumberFormat="1" applyFont="1" applyFill="1" applyBorder="1"/>
    <xf numFmtId="166" fontId="2" fillId="6" borderId="20" xfId="0" applyNumberFormat="1" applyFont="1" applyFill="1" applyBorder="1"/>
    <xf numFmtId="166" fontId="2" fillId="7" borderId="62" xfId="0" applyNumberFormat="1" applyFont="1" applyFill="1" applyBorder="1"/>
    <xf numFmtId="0" fontId="6" fillId="0" borderId="15" xfId="0" applyFont="1" applyBorder="1"/>
    <xf numFmtId="165" fontId="7" fillId="0" borderId="15" xfId="0" applyNumberFormat="1" applyFont="1" applyFill="1" applyBorder="1"/>
    <xf numFmtId="165" fontId="2" fillId="0" borderId="16" xfId="0" applyNumberFormat="1" applyFont="1" applyFill="1" applyBorder="1"/>
    <xf numFmtId="166" fontId="7" fillId="0" borderId="15" xfId="0" applyNumberFormat="1" applyFont="1" applyFill="1" applyBorder="1"/>
    <xf numFmtId="166" fontId="2" fillId="0" borderId="16" xfId="0" applyNumberFormat="1" applyFont="1" applyFill="1" applyBorder="1"/>
    <xf numFmtId="166" fontId="2" fillId="0" borderId="18" xfId="0" applyNumberFormat="1" applyFont="1" applyFill="1" applyBorder="1"/>
    <xf numFmtId="166" fontId="7" fillId="6" borderId="15" xfId="0" applyNumberFormat="1" applyFont="1" applyFill="1" applyBorder="1"/>
    <xf numFmtId="166" fontId="2" fillId="6" borderId="16" xfId="0" applyNumberFormat="1" applyFont="1" applyFill="1" applyBorder="1"/>
    <xf numFmtId="166" fontId="7" fillId="7" borderId="76" xfId="0" applyNumberFormat="1" applyFont="1" applyFill="1" applyBorder="1"/>
    <xf numFmtId="166" fontId="2" fillId="7" borderId="77" xfId="0" applyNumberFormat="1" applyFont="1" applyFill="1" applyBorder="1"/>
    <xf numFmtId="0" fontId="6" fillId="0" borderId="12" xfId="0" applyFont="1" applyFill="1" applyBorder="1"/>
    <xf numFmtId="166" fontId="7" fillId="6" borderId="12" xfId="0" applyNumberFormat="1" applyFont="1" applyFill="1" applyBorder="1"/>
    <xf numFmtId="166" fontId="7" fillId="7" borderId="78" xfId="0" applyNumberFormat="1" applyFont="1" applyFill="1" applyBorder="1"/>
    <xf numFmtId="1" fontId="7" fillId="0" borderId="24" xfId="0" applyNumberFormat="1" applyFont="1" applyFill="1" applyBorder="1"/>
    <xf numFmtId="165" fontId="22" fillId="0" borderId="27" xfId="0" applyNumberFormat="1" applyFont="1" applyFill="1" applyBorder="1"/>
    <xf numFmtId="166" fontId="22" fillId="0" borderId="27" xfId="0" applyNumberFormat="1" applyFont="1" applyFill="1" applyBorder="1"/>
    <xf numFmtId="166" fontId="22" fillId="0" borderId="26" xfId="0" applyNumberFormat="1" applyFont="1" applyFill="1" applyBorder="1"/>
    <xf numFmtId="166" fontId="22" fillId="0" borderId="1" xfId="0" applyNumberFormat="1" applyFont="1" applyFill="1" applyBorder="1"/>
    <xf numFmtId="166" fontId="22" fillId="6" borderId="27" xfId="0" applyNumberFormat="1" applyFont="1" applyFill="1" applyBorder="1"/>
    <xf numFmtId="166" fontId="22" fillId="7" borderId="44" xfId="0" applyNumberFormat="1" applyFont="1" applyFill="1" applyBorder="1"/>
    <xf numFmtId="0" fontId="7" fillId="0" borderId="38" xfId="0" applyFont="1" applyFill="1" applyBorder="1"/>
    <xf numFmtId="165" fontId="22" fillId="0" borderId="41" xfId="0" applyNumberFormat="1" applyFont="1" applyFill="1" applyBorder="1"/>
    <xf numFmtId="166" fontId="22" fillId="0" borderId="41" xfId="0" applyNumberFormat="1" applyFont="1" applyFill="1" applyBorder="1"/>
    <xf numFmtId="166" fontId="22" fillId="0" borderId="40" xfId="0" applyNumberFormat="1" applyFont="1" applyFill="1" applyBorder="1"/>
    <xf numFmtId="166" fontId="22" fillId="6" borderId="41" xfId="0" applyNumberFormat="1" applyFont="1" applyFill="1" applyBorder="1"/>
    <xf numFmtId="166" fontId="22" fillId="7" borderId="51" xfId="0" applyNumberFormat="1" applyFont="1" applyFill="1" applyBorder="1"/>
    <xf numFmtId="0" fontId="6" fillId="0" borderId="0" xfId="0" applyFont="1" applyFill="1" applyBorder="1"/>
    <xf numFmtId="0" fontId="2" fillId="0" borderId="0" xfId="0" applyFont="1" applyFill="1" applyBorder="1"/>
    <xf numFmtId="165" fontId="22" fillId="0" borderId="0" xfId="0" applyNumberFormat="1" applyFont="1" applyFill="1" applyBorder="1"/>
    <xf numFmtId="166" fontId="2" fillId="0" borderId="0" xfId="0" applyNumberFormat="1" applyFont="1" applyFill="1" applyBorder="1"/>
    <xf numFmtId="166" fontId="22" fillId="0" borderId="0" xfId="0" applyNumberFormat="1" applyFont="1" applyFill="1" applyBorder="1"/>
    <xf numFmtId="166" fontId="2" fillId="6" borderId="0" xfId="0" applyNumberFormat="1" applyFont="1" applyFill="1" applyBorder="1"/>
    <xf numFmtId="166" fontId="22" fillId="6" borderId="0" xfId="0" applyNumberFormat="1" applyFont="1" applyFill="1" applyBorder="1"/>
    <xf numFmtId="0" fontId="0" fillId="0" borderId="0" xfId="0" applyBorder="1"/>
    <xf numFmtId="0" fontId="6" fillId="0" borderId="79" xfId="0" applyFont="1" applyFill="1" applyBorder="1"/>
    <xf numFmtId="0" fontId="3" fillId="0" borderId="4" xfId="0" applyFont="1" applyFill="1" applyBorder="1"/>
    <xf numFmtId="166" fontId="2" fillId="0" borderId="80" xfId="0" applyNumberFormat="1" applyFont="1" applyFill="1" applyBorder="1"/>
    <xf numFmtId="166" fontId="2" fillId="0" borderId="5" xfId="0" applyNumberFormat="1" applyFont="1" applyFill="1" applyBorder="1"/>
    <xf numFmtId="166" fontId="2" fillId="0" borderId="4" xfId="0" applyNumberFormat="1" applyFont="1" applyFill="1" applyBorder="1"/>
    <xf numFmtId="166" fontId="2" fillId="6" borderId="4" xfId="0" applyNumberFormat="1" applyFont="1" applyFill="1" applyBorder="1"/>
    <xf numFmtId="0" fontId="3" fillId="0" borderId="75" xfId="0" applyFont="1" applyBorder="1"/>
    <xf numFmtId="0" fontId="23" fillId="0" borderId="24" xfId="0" applyFont="1" applyFill="1" applyBorder="1"/>
    <xf numFmtId="0" fontId="0" fillId="0" borderId="27" xfId="0" applyFont="1" applyFill="1" applyBorder="1"/>
    <xf numFmtId="166" fontId="7" fillId="0" borderId="81" xfId="1" applyNumberFormat="1" applyFont="1" applyBorder="1"/>
    <xf numFmtId="166" fontId="7" fillId="0" borderId="25" xfId="1" applyNumberFormat="1" applyFont="1" applyBorder="1"/>
    <xf numFmtId="166" fontId="7" fillId="0" borderId="26" xfId="1" applyNumberFormat="1" applyFont="1" applyBorder="1"/>
    <xf numFmtId="166" fontId="7" fillId="0" borderId="82" xfId="1" applyNumberFormat="1" applyFont="1" applyBorder="1"/>
    <xf numFmtId="166" fontId="7" fillId="0" borderId="83" xfId="1" applyNumberFormat="1" applyFont="1" applyBorder="1"/>
    <xf numFmtId="166" fontId="7" fillId="0" borderId="1" xfId="1" applyNumberFormat="1" applyFont="1" applyBorder="1"/>
    <xf numFmtId="166" fontId="7" fillId="6" borderId="83" xfId="1" applyNumberFormat="1" applyFont="1" applyFill="1" applyBorder="1"/>
    <xf numFmtId="0" fontId="23" fillId="0" borderId="38" xfId="0" applyFont="1" applyFill="1" applyBorder="1"/>
    <xf numFmtId="0" fontId="0" fillId="0" borderId="41" xfId="0" applyFont="1" applyFill="1" applyBorder="1"/>
    <xf numFmtId="166" fontId="7" fillId="0" borderId="84" xfId="1" applyNumberFormat="1" applyFont="1" applyBorder="1"/>
    <xf numFmtId="166" fontId="7" fillId="0" borderId="39" xfId="1" applyNumberFormat="1" applyFont="1" applyBorder="1"/>
    <xf numFmtId="166" fontId="7" fillId="0" borderId="40" xfId="1" applyNumberFormat="1" applyFont="1" applyBorder="1"/>
    <xf numFmtId="166" fontId="7" fillId="0" borderId="85" xfId="1" applyNumberFormat="1" applyFont="1" applyBorder="1"/>
    <xf numFmtId="166" fontId="7" fillId="0" borderId="86" xfId="1" applyNumberFormat="1" applyFont="1" applyBorder="1"/>
    <xf numFmtId="166" fontId="7" fillId="6" borderId="86" xfId="1" applyNumberFormat="1" applyFont="1" applyFill="1" applyBorder="1"/>
    <xf numFmtId="0" fontId="6" fillId="0" borderId="87" xfId="0" applyFont="1" applyFill="1" applyBorder="1"/>
    <xf numFmtId="0" fontId="6" fillId="2" borderId="87" xfId="0" applyFont="1" applyFill="1" applyBorder="1"/>
    <xf numFmtId="0" fontId="3" fillId="2" borderId="49" xfId="0" applyFont="1" applyFill="1" applyBorder="1"/>
    <xf numFmtId="166" fontId="2" fillId="2" borderId="8" xfId="0" applyNumberFormat="1" applyFont="1" applyFill="1" applyBorder="1"/>
    <xf numFmtId="166" fontId="2" fillId="2" borderId="9" xfId="0" applyNumberFormat="1" applyFont="1" applyFill="1" applyBorder="1"/>
    <xf numFmtId="166" fontId="2" fillId="2" borderId="87" xfId="0" applyNumberFormat="1" applyFont="1" applyFill="1" applyBorder="1"/>
    <xf numFmtId="166" fontId="2" fillId="2" borderId="1" xfId="0" applyNumberFormat="1" applyFont="1" applyFill="1" applyBorder="1"/>
    <xf numFmtId="166" fontId="2" fillId="11" borderId="8" xfId="0" applyNumberFormat="1" applyFont="1" applyFill="1" applyBorder="1"/>
    <xf numFmtId="0" fontId="7" fillId="0" borderId="24" xfId="0" applyFont="1" applyFill="1" applyBorder="1" applyAlignment="1">
      <alignment horizontal="left"/>
    </xf>
    <xf numFmtId="166" fontId="7" fillId="0" borderId="42" xfId="0" applyNumberFormat="1" applyFont="1" applyFill="1" applyBorder="1"/>
    <xf numFmtId="1" fontId="7" fillId="0" borderId="35" xfId="0" applyNumberFormat="1" applyFont="1" applyFill="1" applyBorder="1"/>
    <xf numFmtId="1" fontId="7" fillId="0" borderId="37" xfId="0" applyNumberFormat="1" applyFont="1" applyFill="1" applyBorder="1"/>
    <xf numFmtId="1" fontId="7" fillId="0" borderId="1" xfId="0" applyNumberFormat="1" applyFont="1" applyFill="1" applyBorder="1"/>
    <xf numFmtId="166" fontId="7" fillId="0" borderId="88" xfId="0" applyNumberFormat="1" applyFont="1" applyFill="1" applyBorder="1"/>
    <xf numFmtId="166" fontId="7" fillId="6" borderId="88" xfId="0" applyNumberFormat="1" applyFont="1" applyFill="1" applyBorder="1"/>
    <xf numFmtId="1" fontId="7" fillId="6" borderId="37" xfId="0" applyNumberFormat="1" applyFont="1" applyFill="1" applyBorder="1"/>
    <xf numFmtId="0" fontId="7" fillId="0" borderId="89" xfId="0" applyFont="1" applyFill="1" applyBorder="1" applyAlignment="1">
      <alignment horizontal="left"/>
    </xf>
    <xf numFmtId="0" fontId="7" fillId="0" borderId="90" xfId="0" applyFont="1" applyFill="1" applyBorder="1" applyAlignment="1">
      <alignment horizontal="left"/>
    </xf>
    <xf numFmtId="0" fontId="7" fillId="0" borderId="88" xfId="0" applyFont="1" applyFill="1" applyBorder="1" applyAlignment="1">
      <alignment horizontal="left"/>
    </xf>
    <xf numFmtId="0" fontId="7" fillId="2" borderId="45" xfId="0" applyFont="1" applyFill="1" applyBorder="1" applyAlignment="1">
      <alignment horizontal="left"/>
    </xf>
    <xf numFmtId="166" fontId="7" fillId="2" borderId="32" xfId="0" applyNumberFormat="1" applyFont="1" applyFill="1" applyBorder="1"/>
    <xf numFmtId="1" fontId="7" fillId="2" borderId="33" xfId="0" applyNumberFormat="1" applyFont="1" applyFill="1" applyBorder="1"/>
    <xf numFmtId="1" fontId="7" fillId="2" borderId="46" xfId="0" applyNumberFormat="1" applyFont="1" applyFill="1" applyBorder="1"/>
    <xf numFmtId="1" fontId="7" fillId="2" borderId="1" xfId="0" applyNumberFormat="1" applyFont="1" applyFill="1" applyBorder="1"/>
    <xf numFmtId="166" fontId="7" fillId="2" borderId="91" xfId="0" applyNumberFormat="1" applyFont="1" applyFill="1" applyBorder="1"/>
    <xf numFmtId="166" fontId="7" fillId="11" borderId="91" xfId="0" applyNumberFormat="1" applyFont="1" applyFill="1" applyBorder="1"/>
    <xf numFmtId="1" fontId="7" fillId="11" borderId="46" xfId="0" applyNumberFormat="1" applyFont="1" applyFill="1" applyBorder="1"/>
    <xf numFmtId="0" fontId="7" fillId="0" borderId="38" xfId="0" applyFont="1" applyFill="1" applyBorder="1" applyAlignment="1">
      <alignment horizontal="left"/>
    </xf>
    <xf numFmtId="166" fontId="7" fillId="0" borderId="39" xfId="0" applyNumberFormat="1" applyFont="1" applyFill="1" applyBorder="1"/>
    <xf numFmtId="1" fontId="7" fillId="0" borderId="41" xfId="0" applyNumberFormat="1" applyFont="1" applyFill="1" applyBorder="1"/>
    <xf numFmtId="1" fontId="7" fillId="0" borderId="40" xfId="0" applyNumberFormat="1" applyFont="1" applyFill="1" applyBorder="1"/>
    <xf numFmtId="166" fontId="7" fillId="0" borderId="84" xfId="0" applyNumberFormat="1" applyFont="1" applyFill="1" applyBorder="1"/>
    <xf numFmtId="166" fontId="7" fillId="6" borderId="84" xfId="0" applyNumberFormat="1" applyFont="1" applyFill="1" applyBorder="1"/>
    <xf numFmtId="1" fontId="7" fillId="6" borderId="40" xfId="0" applyNumberFormat="1" applyFont="1" applyFill="1" applyBorder="1"/>
    <xf numFmtId="166" fontId="7" fillId="0" borderId="25" xfId="0" applyNumberFormat="1" applyFont="1" applyFill="1" applyBorder="1"/>
    <xf numFmtId="0" fontId="7" fillId="0" borderId="27" xfId="0" applyFont="1" applyFill="1" applyBorder="1"/>
    <xf numFmtId="0" fontId="7" fillId="0" borderId="26" xfId="0" applyFont="1" applyFill="1" applyBorder="1"/>
    <xf numFmtId="0" fontId="7" fillId="0" borderId="1" xfId="0" applyFont="1" applyFill="1" applyBorder="1"/>
    <xf numFmtId="166" fontId="7" fillId="0" borderId="81" xfId="0" applyNumberFormat="1" applyFont="1" applyFill="1" applyBorder="1"/>
    <xf numFmtId="166" fontId="7" fillId="6" borderId="81" xfId="0" applyNumberFormat="1" applyFont="1" applyFill="1" applyBorder="1"/>
    <xf numFmtId="0" fontId="7" fillId="6" borderId="26" xfId="0" applyFont="1" applyFill="1" applyBorder="1"/>
    <xf numFmtId="0" fontId="7" fillId="2" borderId="33" xfId="0" applyFont="1" applyFill="1" applyBorder="1"/>
    <xf numFmtId="0" fontId="7" fillId="2" borderId="46" xfId="0" applyFont="1" applyFill="1" applyBorder="1"/>
    <xf numFmtId="0" fontId="7" fillId="2" borderId="1" xfId="0" applyFont="1" applyFill="1" applyBorder="1"/>
    <xf numFmtId="0" fontId="7" fillId="11" borderId="46" xfId="0" applyFont="1" applyFill="1" applyBorder="1"/>
    <xf numFmtId="0" fontId="7" fillId="0" borderId="38" xfId="0" applyFont="1" applyFill="1" applyBorder="1" applyAlignment="1">
      <alignment horizontal="left" wrapText="1"/>
    </xf>
    <xf numFmtId="0" fontId="7" fillId="0" borderId="41" xfId="0" applyFont="1" applyFill="1" applyBorder="1"/>
    <xf numFmtId="0" fontId="7" fillId="0" borderId="40" xfId="0" applyFont="1" applyFill="1" applyBorder="1"/>
    <xf numFmtId="0" fontId="7" fillId="6" borderId="40" xfId="0" applyFont="1" applyFill="1" applyBorder="1"/>
    <xf numFmtId="0" fontId="3" fillId="0" borderId="0" xfId="0" applyFont="1"/>
    <xf numFmtId="0" fontId="3" fillId="0" borderId="0" xfId="0" applyFont="1" applyFill="1"/>
    <xf numFmtId="166" fontId="3" fillId="0" borderId="0" xfId="0" applyNumberFormat="1" applyFont="1" applyFill="1"/>
    <xf numFmtId="4" fontId="3" fillId="0" borderId="0" xfId="0" applyNumberFormat="1" applyFont="1" applyFill="1"/>
    <xf numFmtId="3" fontId="3" fillId="0" borderId="0" xfId="0" applyNumberFormat="1" applyFont="1" applyFill="1"/>
    <xf numFmtId="166" fontId="3" fillId="0" borderId="0" xfId="0" applyNumberFormat="1" applyFont="1"/>
  </cellXfs>
  <cellStyles count="2">
    <cellStyle name="Normální" xfId="0" builtinId="0"/>
    <cellStyle name="normální_V.úprava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9"/>
  <sheetViews>
    <sheetView tabSelected="1" workbookViewId="0">
      <selection activeCell="B76" sqref="B76"/>
    </sheetView>
  </sheetViews>
  <sheetFormatPr defaultRowHeight="15" x14ac:dyDescent="0.25"/>
  <cols>
    <col min="1" max="1" width="4.85546875" customWidth="1"/>
    <col min="2" max="2" width="37.28515625" customWidth="1"/>
    <col min="3" max="3" width="4.42578125" customWidth="1"/>
    <col min="4" max="4" width="60.140625" customWidth="1"/>
    <col min="5" max="5" width="13.28515625" style="412" hidden="1" customWidth="1"/>
    <col min="6" max="6" width="10.28515625" style="412" hidden="1" customWidth="1"/>
    <col min="7" max="16" width="10.42578125" style="412" hidden="1" customWidth="1"/>
    <col min="17" max="18" width="15.140625" style="412" hidden="1" customWidth="1"/>
    <col min="19" max="19" width="8.7109375" hidden="1" customWidth="1"/>
    <col min="20" max="20" width="78.28515625" hidden="1" customWidth="1"/>
    <col min="21" max="23" width="15.140625" style="412" hidden="1" customWidth="1"/>
    <col min="24" max="24" width="33.140625" style="412" hidden="1" customWidth="1"/>
    <col min="25" max="33" width="15.140625" style="412" hidden="1" customWidth="1"/>
    <col min="34" max="34" width="15.7109375" style="412" hidden="1" customWidth="1"/>
    <col min="35" max="35" width="15.140625" style="412" hidden="1" customWidth="1"/>
    <col min="36" max="36" width="19.140625" style="412" hidden="1" customWidth="1"/>
    <col min="37" max="37" width="15.140625" style="412" hidden="1" customWidth="1"/>
    <col min="38" max="38" width="19.140625" style="412" hidden="1" customWidth="1"/>
    <col min="39" max="39" width="15.140625" style="412" hidden="1" customWidth="1"/>
    <col min="40" max="40" width="19.140625" style="412" hidden="1" customWidth="1"/>
    <col min="41" max="41" width="15.140625" style="412" hidden="1" customWidth="1"/>
    <col min="42" max="42" width="19.140625" style="412" hidden="1" customWidth="1"/>
    <col min="43" max="43" width="15.140625" style="412" hidden="1" customWidth="1"/>
    <col min="44" max="44" width="19.140625" style="412" hidden="1" customWidth="1"/>
    <col min="45" max="45" width="15.140625" style="412" hidden="1" customWidth="1"/>
    <col min="46" max="46" width="19.140625" style="412" hidden="1" customWidth="1"/>
    <col min="47" max="47" width="15.140625" style="412" hidden="1" customWidth="1"/>
    <col min="48" max="48" width="19.140625" style="412" hidden="1" customWidth="1"/>
    <col min="49" max="49" width="12.85546875" style="412" customWidth="1"/>
    <col min="50" max="50" width="37.5703125" style="412" customWidth="1"/>
    <col min="51" max="51" width="18.42578125" customWidth="1"/>
    <col min="52" max="52" width="10.5703125" customWidth="1"/>
    <col min="53" max="53" width="11.85546875" customWidth="1"/>
    <col min="54" max="54" width="19.140625" customWidth="1"/>
    <col min="55" max="55" width="59.28515625" customWidth="1"/>
  </cols>
  <sheetData>
    <row r="1" spans="1:55" ht="15.75" thickBot="1" x14ac:dyDescent="0.3">
      <c r="A1" s="1" t="s">
        <v>0</v>
      </c>
      <c r="B1" s="1"/>
      <c r="C1" s="1"/>
      <c r="D1" s="1"/>
      <c r="E1" s="2" t="s">
        <v>1</v>
      </c>
      <c r="F1" s="2"/>
      <c r="G1" s="3" t="s">
        <v>2</v>
      </c>
      <c r="H1" s="3"/>
      <c r="I1" s="3" t="s">
        <v>3</v>
      </c>
      <c r="J1" s="3"/>
      <c r="K1" s="3" t="s">
        <v>4</v>
      </c>
      <c r="L1" s="3"/>
      <c r="M1" s="3" t="s">
        <v>5</v>
      </c>
      <c r="N1" s="3"/>
      <c r="O1" s="3" t="s">
        <v>6</v>
      </c>
      <c r="P1" s="3"/>
      <c r="Q1" s="2" t="s">
        <v>7</v>
      </c>
      <c r="R1" s="2"/>
      <c r="S1" s="4" t="s">
        <v>8</v>
      </c>
      <c r="T1" s="4" t="s">
        <v>9</v>
      </c>
      <c r="U1" s="2" t="s">
        <v>10</v>
      </c>
      <c r="V1" s="2"/>
      <c r="W1" s="5"/>
      <c r="X1" s="6"/>
      <c r="Y1" s="7" t="s">
        <v>11</v>
      </c>
      <c r="Z1" s="2"/>
      <c r="AA1" s="7" t="s">
        <v>12</v>
      </c>
      <c r="AB1" s="8"/>
      <c r="AC1" s="7" t="s">
        <v>13</v>
      </c>
      <c r="AD1" s="8"/>
      <c r="AE1" s="7" t="s">
        <v>14</v>
      </c>
      <c r="AF1" s="8"/>
      <c r="AG1" s="9" t="s">
        <v>15</v>
      </c>
      <c r="AH1" s="10"/>
      <c r="AI1" s="7" t="s">
        <v>16</v>
      </c>
      <c r="AJ1" s="8"/>
      <c r="AK1" s="7" t="s">
        <v>17</v>
      </c>
      <c r="AL1" s="8"/>
      <c r="AM1" s="7" t="s">
        <v>18</v>
      </c>
      <c r="AN1" s="2"/>
      <c r="AO1" s="2" t="s">
        <v>19</v>
      </c>
      <c r="AP1" s="2"/>
      <c r="AQ1" s="2" t="s">
        <v>20</v>
      </c>
      <c r="AR1" s="2"/>
      <c r="AS1" s="7" t="s">
        <v>21</v>
      </c>
      <c r="AT1" s="8"/>
      <c r="AU1" s="7" t="s">
        <v>22</v>
      </c>
      <c r="AV1" s="8"/>
      <c r="AW1" s="11" t="s">
        <v>23</v>
      </c>
      <c r="AX1" s="12"/>
      <c r="AY1" s="13" t="s">
        <v>7</v>
      </c>
      <c r="AZ1" s="14"/>
      <c r="BA1" s="15" t="s">
        <v>24</v>
      </c>
      <c r="BB1" s="16"/>
    </row>
    <row r="2" spans="1:55" ht="15.75" thickBot="1" x14ac:dyDescent="0.3">
      <c r="A2" s="1"/>
      <c r="B2" s="1"/>
      <c r="C2" s="1"/>
      <c r="D2" s="1"/>
      <c r="E2" s="2"/>
      <c r="F2" s="2"/>
      <c r="G2" s="3" t="s">
        <v>25</v>
      </c>
      <c r="H2" s="3"/>
      <c r="I2" s="3" t="s">
        <v>26</v>
      </c>
      <c r="J2" s="3"/>
      <c r="K2" s="3" t="s">
        <v>27</v>
      </c>
      <c r="L2" s="3"/>
      <c r="M2" s="3" t="s">
        <v>28</v>
      </c>
      <c r="N2" s="3"/>
      <c r="O2" s="3" t="s">
        <v>29</v>
      </c>
      <c r="P2" s="3"/>
      <c r="Q2" s="2"/>
      <c r="R2" s="2"/>
      <c r="S2" s="4"/>
      <c r="T2" s="4"/>
      <c r="U2" s="2"/>
      <c r="V2" s="2"/>
      <c r="W2" s="5" t="s">
        <v>24</v>
      </c>
      <c r="X2" s="6"/>
      <c r="Y2" s="7"/>
      <c r="Z2" s="2"/>
      <c r="AA2" s="7"/>
      <c r="AB2" s="8"/>
      <c r="AC2" s="7"/>
      <c r="AD2" s="8"/>
      <c r="AE2" s="7"/>
      <c r="AF2" s="8"/>
      <c r="AG2" s="17"/>
      <c r="AH2" s="18"/>
      <c r="AI2" s="7"/>
      <c r="AJ2" s="8"/>
      <c r="AK2" s="7"/>
      <c r="AL2" s="8"/>
      <c r="AM2" s="7"/>
      <c r="AN2" s="2"/>
      <c r="AO2" s="2"/>
      <c r="AP2" s="2"/>
      <c r="AQ2" s="2"/>
      <c r="AR2" s="2"/>
      <c r="AS2" s="7"/>
      <c r="AT2" s="8"/>
      <c r="AU2" s="7"/>
      <c r="AV2" s="8"/>
      <c r="AW2" s="11"/>
      <c r="AX2" s="12"/>
      <c r="AY2" s="19"/>
      <c r="AZ2" s="20"/>
      <c r="BA2" s="21"/>
      <c r="BB2" s="22"/>
    </row>
    <row r="3" spans="1:55" ht="15.75" thickBot="1" x14ac:dyDescent="0.3">
      <c r="A3" s="23" t="s">
        <v>30</v>
      </c>
      <c r="B3" s="24" t="s">
        <v>31</v>
      </c>
      <c r="C3" s="24" t="s">
        <v>32</v>
      </c>
      <c r="D3" s="25" t="s">
        <v>33</v>
      </c>
      <c r="E3" s="26"/>
      <c r="F3" s="27" t="s">
        <v>34</v>
      </c>
      <c r="G3" s="26"/>
      <c r="H3" s="27" t="s">
        <v>34</v>
      </c>
      <c r="I3" s="26"/>
      <c r="J3" s="27" t="s">
        <v>34</v>
      </c>
      <c r="K3" s="26"/>
      <c r="L3" s="27" t="s">
        <v>34</v>
      </c>
      <c r="M3" s="26"/>
      <c r="N3" s="27" t="s">
        <v>34</v>
      </c>
      <c r="O3" s="26"/>
      <c r="P3" s="27" t="s">
        <v>34</v>
      </c>
      <c r="Q3" s="26"/>
      <c r="R3" s="27" t="s">
        <v>34</v>
      </c>
      <c r="S3" s="28"/>
      <c r="T3" s="29"/>
      <c r="U3" s="26"/>
      <c r="V3" s="27" t="s">
        <v>34</v>
      </c>
      <c r="W3" s="30"/>
      <c r="X3" s="31"/>
      <c r="Y3" s="32"/>
      <c r="Z3" s="27" t="s">
        <v>34</v>
      </c>
      <c r="AA3" s="32"/>
      <c r="AB3" s="30" t="s">
        <v>34</v>
      </c>
      <c r="AC3" s="32"/>
      <c r="AD3" s="30" t="s">
        <v>34</v>
      </c>
      <c r="AE3" s="32"/>
      <c r="AF3" s="33" t="s">
        <v>34</v>
      </c>
      <c r="AG3" s="32"/>
      <c r="AH3" s="30" t="s">
        <v>34</v>
      </c>
      <c r="AI3" s="34"/>
      <c r="AJ3" s="35" t="s">
        <v>34</v>
      </c>
      <c r="AK3" s="34"/>
      <c r="AL3" s="35" t="s">
        <v>34</v>
      </c>
      <c r="AM3" s="34"/>
      <c r="AN3" s="33" t="s">
        <v>34</v>
      </c>
      <c r="AO3" s="34"/>
      <c r="AP3" s="35" t="s">
        <v>34</v>
      </c>
      <c r="AQ3" s="34"/>
      <c r="AR3" s="35" t="s">
        <v>34</v>
      </c>
      <c r="AS3" s="34"/>
      <c r="AT3" s="35" t="s">
        <v>34</v>
      </c>
      <c r="AU3" s="34"/>
      <c r="AV3" s="35" t="s">
        <v>34</v>
      </c>
      <c r="AW3" s="36"/>
      <c r="AX3" s="37" t="s">
        <v>34</v>
      </c>
      <c r="AY3" s="38"/>
      <c r="AZ3" s="38" t="s">
        <v>34</v>
      </c>
      <c r="BA3" s="39"/>
      <c r="BB3" s="39" t="s">
        <v>35</v>
      </c>
    </row>
    <row r="4" spans="1:55" ht="15.75" thickBot="1" x14ac:dyDescent="0.3">
      <c r="A4" s="40" t="s">
        <v>36</v>
      </c>
      <c r="B4" s="41" t="s">
        <v>37</v>
      </c>
      <c r="C4" s="41">
        <v>1</v>
      </c>
      <c r="D4" s="42" t="s">
        <v>38</v>
      </c>
      <c r="E4" s="43">
        <f>10698+950+480+141</f>
        <v>12269</v>
      </c>
      <c r="F4" s="44"/>
      <c r="G4" s="45">
        <f>10698+950+480+141</f>
        <v>12269</v>
      </c>
      <c r="H4" s="46"/>
      <c r="I4" s="45">
        <f>10698+950+480+141</f>
        <v>12269</v>
      </c>
      <c r="J4" s="46"/>
      <c r="K4" s="45">
        <f>10698+950+480+141</f>
        <v>12269</v>
      </c>
      <c r="L4" s="46"/>
      <c r="M4" s="45">
        <f>10698+480+179+1337.4+86.4</f>
        <v>12780.8</v>
      </c>
      <c r="N4" s="46"/>
      <c r="O4" s="45">
        <f>10698+480+179+1337.4+86.4</f>
        <v>12780.8</v>
      </c>
      <c r="P4" s="46"/>
      <c r="Q4" s="45">
        <f>11633.4+480+179+950</f>
        <v>13242.4</v>
      </c>
      <c r="R4" s="46"/>
      <c r="S4" s="47"/>
      <c r="T4" s="48" t="s">
        <v>39</v>
      </c>
      <c r="U4" s="45">
        <f>11633.4+480+179+950+28</f>
        <v>13270.4</v>
      </c>
      <c r="V4" s="46"/>
      <c r="W4" s="49">
        <f>U4-Q4</f>
        <v>28</v>
      </c>
      <c r="X4" s="50" t="s">
        <v>40</v>
      </c>
      <c r="Y4" s="45">
        <f>11633.4+480+179+950+28</f>
        <v>13270.4</v>
      </c>
      <c r="Z4" s="46"/>
      <c r="AA4" s="45">
        <f>11633.4+480+179+950+28</f>
        <v>13270.4</v>
      </c>
      <c r="AB4" s="49"/>
      <c r="AC4" s="45">
        <f>11633.4+480+179+950+28</f>
        <v>13270.4</v>
      </c>
      <c r="AD4" s="49"/>
      <c r="AE4" s="45">
        <f>11633.4+480+179+950+28</f>
        <v>13270.4</v>
      </c>
      <c r="AF4" s="49"/>
      <c r="AG4" s="45">
        <f>11633.4+480+179+950+28+24.968</f>
        <v>13295.368</v>
      </c>
      <c r="AH4" s="49"/>
      <c r="AI4" s="45">
        <f>11633.4+480+179+950+28+24.968</f>
        <v>13295.368</v>
      </c>
      <c r="AJ4" s="49"/>
      <c r="AK4" s="45">
        <f>11633.4+480+179+950+28+24.968</f>
        <v>13295.368</v>
      </c>
      <c r="AL4" s="49"/>
      <c r="AM4" s="45">
        <f>11633.4+480+179+950+28+24.968+355.3</f>
        <v>13650.668</v>
      </c>
      <c r="AN4" s="49"/>
      <c r="AO4" s="45">
        <f>11633.4+480+179+950+28+24.968+355.3</f>
        <v>13650.668</v>
      </c>
      <c r="AP4" s="49"/>
      <c r="AQ4" s="45">
        <f>11633.4+480+179+950+28+24.968+355.3</f>
        <v>13650.668</v>
      </c>
      <c r="AR4" s="49"/>
      <c r="AS4" s="45">
        <f>11633.4+480+179+950+28+24.968+355.3</f>
        <v>13650.668</v>
      </c>
      <c r="AT4" s="49"/>
      <c r="AU4" s="45">
        <f>11633.4+480+179+950+28+24.968+355.3</f>
        <v>13650.668</v>
      </c>
      <c r="AV4" s="49"/>
      <c r="AW4" s="51">
        <v>13848</v>
      </c>
      <c r="AX4" s="52"/>
      <c r="AY4" s="53">
        <f>11633.4+480+179+950</f>
        <v>13242.4</v>
      </c>
      <c r="AZ4" s="54"/>
      <c r="BA4" s="55">
        <f>AW4-AY4</f>
        <v>605.60000000000036</v>
      </c>
      <c r="BB4" s="56"/>
    </row>
    <row r="5" spans="1:55" ht="15.75" thickBot="1" x14ac:dyDescent="0.3">
      <c r="A5" s="57"/>
      <c r="B5" s="58"/>
      <c r="C5" s="59">
        <v>2</v>
      </c>
      <c r="D5" s="60" t="s">
        <v>41</v>
      </c>
      <c r="E5" s="61">
        <v>100</v>
      </c>
      <c r="F5" s="62"/>
      <c r="G5" s="63">
        <v>100</v>
      </c>
      <c r="H5" s="64"/>
      <c r="I5" s="63">
        <f>135+366.4</f>
        <v>501.4</v>
      </c>
      <c r="J5" s="64"/>
      <c r="K5" s="63">
        <f>135+366.4</f>
        <v>501.4</v>
      </c>
      <c r="L5" s="64"/>
      <c r="M5" s="63">
        <f>135+366.4+20</f>
        <v>521.4</v>
      </c>
      <c r="N5" s="64"/>
      <c r="O5" s="63">
        <f>135+366.4+20+35+31.6</f>
        <v>588</v>
      </c>
      <c r="P5" s="64"/>
      <c r="Q5" s="63">
        <f>1220+4500</f>
        <v>5720</v>
      </c>
      <c r="R5" s="64"/>
      <c r="S5" s="47"/>
      <c r="T5" s="65" t="s">
        <v>42</v>
      </c>
      <c r="U5" s="63">
        <f>1220+4500</f>
        <v>5720</v>
      </c>
      <c r="V5" s="64"/>
      <c r="W5" s="49">
        <f>U5-Q5</f>
        <v>0</v>
      </c>
      <c r="X5" s="66"/>
      <c r="Y5" s="63">
        <f>1220+4500</f>
        <v>5720</v>
      </c>
      <c r="Z5" s="64"/>
      <c r="AA5" s="63">
        <f>1220+4500+775.5486</f>
        <v>6495.5486000000001</v>
      </c>
      <c r="AB5" s="67"/>
      <c r="AC5" s="63">
        <f>1220+4500+775.5486</f>
        <v>6495.5486000000001</v>
      </c>
      <c r="AD5" s="67"/>
      <c r="AE5" s="63">
        <f>1220+4500+775.5486+472.62+22+380.042</f>
        <v>7370.2106000000003</v>
      </c>
      <c r="AF5" s="67"/>
      <c r="AG5" s="63">
        <f>1220+4500+775.5486+472.62+22+380.042+121.667</f>
        <v>7491.8776000000007</v>
      </c>
      <c r="AH5" s="67"/>
      <c r="AI5" s="63">
        <f>1220+4500+775.5486+472.62+22+380.042+121.667+742</f>
        <v>8233.8775999999998</v>
      </c>
      <c r="AJ5" s="67"/>
      <c r="AK5" s="63">
        <f>1220+4500+775.5486+472.62+22+380.042+121.667+742+20</f>
        <v>8253.8775999999998</v>
      </c>
      <c r="AL5" s="67"/>
      <c r="AM5" s="63">
        <f>1220+4500+775.5486+472.62+22+380.042+121.667+742+20</f>
        <v>8253.8775999999998</v>
      </c>
      <c r="AN5" s="67"/>
      <c r="AO5" s="63">
        <f>1220+4500+775.5486+472.62+22+380.042+121.667+742+20+200</f>
        <v>8453.8775999999998</v>
      </c>
      <c r="AP5" s="67"/>
      <c r="AQ5" s="63">
        <f>1220+4500+775.5486+472.62+22+380.042+121.667+742+20+200+61.53+93+200+3000</f>
        <v>11808.4076</v>
      </c>
      <c r="AR5" s="67"/>
      <c r="AS5" s="63">
        <f>1220+4500+775.5486+472.62+22+380.042+121.667+742+20+200+61.53+93+200+3000+30+18.307+150</f>
        <v>12006.714600000001</v>
      </c>
      <c r="AT5" s="67"/>
      <c r="AU5" s="63">
        <f>1220+4500+775.5486+472.62+22+380.042+121.667+742+20+200+61.53+93+200+3000+30+18.307+150+104.495+20</f>
        <v>12131.209600000002</v>
      </c>
      <c r="AV5" s="67"/>
      <c r="AW5" s="68">
        <v>1549.1</v>
      </c>
      <c r="AX5" s="69"/>
      <c r="AY5" s="70">
        <f>1220+4500</f>
        <v>5720</v>
      </c>
      <c r="AZ5" s="54"/>
      <c r="BA5" s="71">
        <f t="shared" ref="BA5:BA40" si="0">AW5-AY5</f>
        <v>-4170.8999999999996</v>
      </c>
      <c r="BB5" s="56"/>
      <c r="BC5" s="72" t="s">
        <v>43</v>
      </c>
    </row>
    <row r="6" spans="1:55" ht="15.75" thickBot="1" x14ac:dyDescent="0.3">
      <c r="A6" s="73"/>
      <c r="B6" s="74"/>
      <c r="C6" s="74"/>
      <c r="D6" s="75" t="s">
        <v>44</v>
      </c>
      <c r="E6" s="76"/>
      <c r="F6" s="77">
        <f>SUM(E4:E5)</f>
        <v>12369</v>
      </c>
      <c r="G6" s="78"/>
      <c r="H6" s="79">
        <f>SUM(G4:G5)</f>
        <v>12369</v>
      </c>
      <c r="I6" s="78"/>
      <c r="J6" s="79">
        <f>SUM(I4:I5)</f>
        <v>12770.4</v>
      </c>
      <c r="K6" s="78"/>
      <c r="L6" s="79">
        <f>SUM(K4:K5)</f>
        <v>12770.4</v>
      </c>
      <c r="M6" s="78"/>
      <c r="N6" s="79">
        <f>SUM(M4:M5)</f>
        <v>13302.199999999999</v>
      </c>
      <c r="O6" s="78"/>
      <c r="P6" s="79">
        <v>17138.2</v>
      </c>
      <c r="Q6" s="78"/>
      <c r="R6" s="79">
        <f>SUM(Q4:Q5)</f>
        <v>18962.400000000001</v>
      </c>
      <c r="S6" s="80">
        <f>R6-P6</f>
        <v>1824.2000000000007</v>
      </c>
      <c r="T6" s="65"/>
      <c r="U6" s="78"/>
      <c r="V6" s="79">
        <f>SUM(U4:U5)</f>
        <v>18990.400000000001</v>
      </c>
      <c r="W6" s="49"/>
      <c r="X6" s="66"/>
      <c r="Y6" s="78"/>
      <c r="Z6" s="79">
        <f>SUM(Y4:Y5)</f>
        <v>18990.400000000001</v>
      </c>
      <c r="AA6" s="78"/>
      <c r="AB6" s="81">
        <f>SUM(AA4:AA5)</f>
        <v>19765.9486</v>
      </c>
      <c r="AC6" s="78"/>
      <c r="AD6" s="81">
        <f>SUM(AC4:AC5)</f>
        <v>19765.9486</v>
      </c>
      <c r="AE6" s="78"/>
      <c r="AF6" s="81">
        <f>SUM(AE4:AE5)</f>
        <v>20640.6106</v>
      </c>
      <c r="AG6" s="78"/>
      <c r="AH6" s="81">
        <f>SUM(AG4:AG5)</f>
        <v>20787.245600000002</v>
      </c>
      <c r="AI6" s="78"/>
      <c r="AJ6" s="81">
        <f>SUM(AI4:AI5)</f>
        <v>21529.245600000002</v>
      </c>
      <c r="AK6" s="78"/>
      <c r="AL6" s="81">
        <f>SUM(AK4:AK5)</f>
        <v>21549.245600000002</v>
      </c>
      <c r="AM6" s="78"/>
      <c r="AN6" s="81">
        <f>SUM(AM4:AM5)</f>
        <v>21904.545599999998</v>
      </c>
      <c r="AO6" s="78"/>
      <c r="AP6" s="81">
        <f>SUM(AO4:AO5)</f>
        <v>22104.545599999998</v>
      </c>
      <c r="AQ6" s="78"/>
      <c r="AR6" s="81">
        <f>SUM(AQ4:AQ5)</f>
        <v>25459.0756</v>
      </c>
      <c r="AS6" s="78"/>
      <c r="AT6" s="81">
        <f>SUM(AS4:AS5)</f>
        <v>25657.382600000001</v>
      </c>
      <c r="AU6" s="78"/>
      <c r="AV6" s="81">
        <f>SUM(AU4:AU5)</f>
        <v>25781.8776</v>
      </c>
      <c r="AW6" s="82"/>
      <c r="AX6" s="83">
        <f>SUM(AW4:AW5)</f>
        <v>15397.1</v>
      </c>
      <c r="AY6" s="54"/>
      <c r="AZ6" s="84">
        <f>SUM(AY4:AY5)</f>
        <v>18962.400000000001</v>
      </c>
      <c r="BA6" s="55"/>
      <c r="BB6" s="85">
        <f>AX6-AZ6</f>
        <v>-3565.3000000000011</v>
      </c>
    </row>
    <row r="7" spans="1:55" ht="15.75" thickBot="1" x14ac:dyDescent="0.3">
      <c r="A7" s="86" t="s">
        <v>45</v>
      </c>
      <c r="B7" s="87" t="s">
        <v>46</v>
      </c>
      <c r="C7" s="87">
        <v>1</v>
      </c>
      <c r="D7" s="88" t="s">
        <v>47</v>
      </c>
      <c r="E7" s="61">
        <v>2770</v>
      </c>
      <c r="F7" s="62"/>
      <c r="G7" s="63">
        <v>2870</v>
      </c>
      <c r="H7" s="64"/>
      <c r="I7" s="63">
        <v>2870</v>
      </c>
      <c r="J7" s="64"/>
      <c r="K7" s="63">
        <v>2870</v>
      </c>
      <c r="L7" s="64"/>
      <c r="M7" s="89">
        <v>2870</v>
      </c>
      <c r="N7" s="46"/>
      <c r="O7" s="89">
        <v>2870</v>
      </c>
      <c r="P7" s="46"/>
      <c r="Q7" s="89">
        <v>2870</v>
      </c>
      <c r="R7" s="46"/>
      <c r="S7" s="90"/>
      <c r="T7" s="91"/>
      <c r="U7" s="89">
        <v>2870</v>
      </c>
      <c r="V7" s="46"/>
      <c r="W7" s="49">
        <f>U7-Q7</f>
        <v>0</v>
      </c>
      <c r="X7" s="66"/>
      <c r="Y7" s="89">
        <v>2870</v>
      </c>
      <c r="Z7" s="46"/>
      <c r="AA7" s="89">
        <v>2870</v>
      </c>
      <c r="AB7" s="49"/>
      <c r="AC7" s="89">
        <v>2870</v>
      </c>
      <c r="AD7" s="49"/>
      <c r="AE7" s="89">
        <v>2870</v>
      </c>
      <c r="AF7" s="49"/>
      <c r="AG7" s="89">
        <v>2870</v>
      </c>
      <c r="AH7" s="49"/>
      <c r="AI7" s="89">
        <v>2870</v>
      </c>
      <c r="AJ7" s="49"/>
      <c r="AK7" s="89">
        <v>2870</v>
      </c>
      <c r="AL7" s="49"/>
      <c r="AM7" s="89">
        <v>2870</v>
      </c>
      <c r="AN7" s="49"/>
      <c r="AO7" s="89">
        <v>2870</v>
      </c>
      <c r="AP7" s="49"/>
      <c r="AQ7" s="89">
        <v>2870</v>
      </c>
      <c r="AR7" s="49"/>
      <c r="AS7" s="89">
        <v>2870</v>
      </c>
      <c r="AT7" s="49"/>
      <c r="AU7" s="89">
        <v>2870</v>
      </c>
      <c r="AV7" s="49"/>
      <c r="AW7" s="92">
        <v>2870</v>
      </c>
      <c r="AX7" s="52"/>
      <c r="AY7" s="93">
        <v>2870</v>
      </c>
      <c r="AZ7" s="94"/>
      <c r="BA7" s="55">
        <f t="shared" si="0"/>
        <v>0</v>
      </c>
      <c r="BB7" s="55"/>
    </row>
    <row r="8" spans="1:55" ht="15.75" thickBot="1" x14ac:dyDescent="0.3">
      <c r="A8" s="95"/>
      <c r="B8" s="59"/>
      <c r="C8" s="59">
        <v>2</v>
      </c>
      <c r="D8" s="96" t="s">
        <v>48</v>
      </c>
      <c r="E8" s="97">
        <v>43470</v>
      </c>
      <c r="F8" s="98"/>
      <c r="G8" s="99">
        <v>43470</v>
      </c>
      <c r="H8" s="100"/>
      <c r="I8" s="99">
        <v>43470</v>
      </c>
      <c r="J8" s="100"/>
      <c r="K8" s="99">
        <v>43470</v>
      </c>
      <c r="L8" s="100"/>
      <c r="M8" s="99">
        <v>43470</v>
      </c>
      <c r="N8" s="100"/>
      <c r="O8" s="99">
        <v>43470</v>
      </c>
      <c r="P8" s="100"/>
      <c r="Q8" s="99">
        <v>46300</v>
      </c>
      <c r="R8" s="100"/>
      <c r="S8" s="47"/>
      <c r="T8" s="91" t="s">
        <v>49</v>
      </c>
      <c r="U8" s="99">
        <v>46300</v>
      </c>
      <c r="V8" s="100"/>
      <c r="W8" s="49">
        <f>U8-Q8</f>
        <v>0</v>
      </c>
      <c r="X8" s="66"/>
      <c r="Y8" s="99">
        <v>46300</v>
      </c>
      <c r="Z8" s="100"/>
      <c r="AA8" s="99">
        <v>46300</v>
      </c>
      <c r="AB8" s="101"/>
      <c r="AC8" s="99">
        <v>46300</v>
      </c>
      <c r="AD8" s="101"/>
      <c r="AE8" s="99">
        <v>46300</v>
      </c>
      <c r="AF8" s="101"/>
      <c r="AG8" s="99">
        <v>46300</v>
      </c>
      <c r="AH8" s="101"/>
      <c r="AI8" s="99">
        <v>46300</v>
      </c>
      <c r="AJ8" s="101"/>
      <c r="AK8" s="99">
        <v>46300</v>
      </c>
      <c r="AL8" s="101"/>
      <c r="AM8" s="99">
        <v>46300</v>
      </c>
      <c r="AN8" s="101"/>
      <c r="AO8" s="99">
        <v>46300</v>
      </c>
      <c r="AP8" s="101"/>
      <c r="AQ8" s="99">
        <v>46300</v>
      </c>
      <c r="AR8" s="101"/>
      <c r="AS8" s="99">
        <v>46300</v>
      </c>
      <c r="AT8" s="101"/>
      <c r="AU8" s="99">
        <v>46300</v>
      </c>
      <c r="AV8" s="101"/>
      <c r="AW8" s="102">
        <v>55000</v>
      </c>
      <c r="AX8" s="103"/>
      <c r="AY8" s="104">
        <v>46300</v>
      </c>
      <c r="AZ8" s="105"/>
      <c r="BA8" s="55">
        <f t="shared" si="0"/>
        <v>8700</v>
      </c>
      <c r="BB8" s="55"/>
      <c r="BC8" s="106" t="s">
        <v>50</v>
      </c>
    </row>
    <row r="9" spans="1:55" ht="15.75" thickBot="1" x14ac:dyDescent="0.3">
      <c r="A9" s="95"/>
      <c r="B9" s="59"/>
      <c r="C9" s="59">
        <v>3</v>
      </c>
      <c r="D9" s="96" t="s">
        <v>51</v>
      </c>
      <c r="E9" s="97">
        <v>1300</v>
      </c>
      <c r="F9" s="98"/>
      <c r="G9" s="99">
        <v>1793.6</v>
      </c>
      <c r="H9" s="100"/>
      <c r="I9" s="99">
        <v>1793.6</v>
      </c>
      <c r="J9" s="100"/>
      <c r="K9" s="99">
        <v>1793.6</v>
      </c>
      <c r="L9" s="100"/>
      <c r="M9" s="99">
        <v>1793.6</v>
      </c>
      <c r="N9" s="100"/>
      <c r="O9" s="99">
        <v>1793.6</v>
      </c>
      <c r="P9" s="100"/>
      <c r="Q9" s="99">
        <v>1500</v>
      </c>
      <c r="R9" s="100"/>
      <c r="S9" s="47"/>
      <c r="T9" s="91" t="s">
        <v>52</v>
      </c>
      <c r="U9" s="99">
        <v>1500</v>
      </c>
      <c r="V9" s="100"/>
      <c r="W9" s="49">
        <f>U9-Q9</f>
        <v>0</v>
      </c>
      <c r="X9" s="66"/>
      <c r="Y9" s="99">
        <v>1500</v>
      </c>
      <c r="Z9" s="100"/>
      <c r="AA9" s="99">
        <f>1500+452.4</f>
        <v>1952.4</v>
      </c>
      <c r="AB9" s="101"/>
      <c r="AC9" s="99">
        <f>1500+452.4</f>
        <v>1952.4</v>
      </c>
      <c r="AD9" s="101"/>
      <c r="AE9" s="99">
        <f>1500+452.4</f>
        <v>1952.4</v>
      </c>
      <c r="AF9" s="101"/>
      <c r="AG9" s="99">
        <f>1500+452.4</f>
        <v>1952.4</v>
      </c>
      <c r="AH9" s="101"/>
      <c r="AI9" s="99">
        <f>1500+452.4</f>
        <v>1952.4</v>
      </c>
      <c r="AJ9" s="101"/>
      <c r="AK9" s="99">
        <f>1500+452.4</f>
        <v>1952.4</v>
      </c>
      <c r="AL9" s="101"/>
      <c r="AM9" s="99">
        <f>1500+452.4</f>
        <v>1952.4</v>
      </c>
      <c r="AN9" s="101"/>
      <c r="AO9" s="99">
        <f>1500+452.4</f>
        <v>1952.4</v>
      </c>
      <c r="AP9" s="101"/>
      <c r="AQ9" s="99">
        <f>1500+452.4+600</f>
        <v>2552.4</v>
      </c>
      <c r="AR9" s="101"/>
      <c r="AS9" s="99">
        <f>1500+452.4+600</f>
        <v>2552.4</v>
      </c>
      <c r="AT9" s="101"/>
      <c r="AU9" s="99">
        <f>1500+452.4+600</f>
        <v>2552.4</v>
      </c>
      <c r="AV9" s="101"/>
      <c r="AW9" s="102">
        <v>2000</v>
      </c>
      <c r="AX9" s="103"/>
      <c r="AY9" s="104">
        <v>1500</v>
      </c>
      <c r="AZ9" s="105"/>
      <c r="BA9" s="55">
        <f t="shared" si="0"/>
        <v>500</v>
      </c>
      <c r="BB9" s="55"/>
    </row>
    <row r="10" spans="1:55" ht="15.75" thickBot="1" x14ac:dyDescent="0.3">
      <c r="A10" s="73"/>
      <c r="B10" s="74"/>
      <c r="C10" s="74"/>
      <c r="D10" s="75" t="s">
        <v>44</v>
      </c>
      <c r="E10" s="76"/>
      <c r="F10" s="77">
        <f>SUM(E7:E9)</f>
        <v>47540</v>
      </c>
      <c r="G10" s="78"/>
      <c r="H10" s="79">
        <f>SUM(G7:G9)</f>
        <v>48133.599999999999</v>
      </c>
      <c r="I10" s="78"/>
      <c r="J10" s="79">
        <f>SUM(I7:I9)</f>
        <v>48133.599999999999</v>
      </c>
      <c r="K10" s="78"/>
      <c r="L10" s="79">
        <f>SUM(K7:K9)</f>
        <v>48133.599999999999</v>
      </c>
      <c r="M10" s="78"/>
      <c r="N10" s="79">
        <f>SUM(M7:M9)</f>
        <v>48133.599999999999</v>
      </c>
      <c r="O10" s="78"/>
      <c r="P10" s="79">
        <f>SUM(O7:O9)</f>
        <v>48133.599999999999</v>
      </c>
      <c r="Q10" s="78"/>
      <c r="R10" s="79">
        <f>SUM(Q7:Q9)</f>
        <v>50670</v>
      </c>
      <c r="S10" s="107">
        <f>R10-P10</f>
        <v>2536.4000000000015</v>
      </c>
      <c r="T10" s="91"/>
      <c r="U10" s="78"/>
      <c r="V10" s="79">
        <f>SUM(U7:U9)</f>
        <v>50670</v>
      </c>
      <c r="W10" s="49"/>
      <c r="X10" s="66"/>
      <c r="Y10" s="78"/>
      <c r="Z10" s="79">
        <f>SUM(Y7:Y9)</f>
        <v>50670</v>
      </c>
      <c r="AA10" s="78"/>
      <c r="AB10" s="81">
        <f>SUM(AA7:AA9)</f>
        <v>51122.400000000001</v>
      </c>
      <c r="AC10" s="78"/>
      <c r="AD10" s="81">
        <f>SUM(AC7:AC9)</f>
        <v>51122.400000000001</v>
      </c>
      <c r="AE10" s="78"/>
      <c r="AF10" s="81">
        <f>SUM(AE7:AE9)</f>
        <v>51122.400000000001</v>
      </c>
      <c r="AG10" s="78"/>
      <c r="AH10" s="81">
        <f>SUM(AG7:AG9)</f>
        <v>51122.400000000001</v>
      </c>
      <c r="AI10" s="78"/>
      <c r="AJ10" s="81">
        <f>SUM(AI7:AI9)</f>
        <v>51122.400000000001</v>
      </c>
      <c r="AK10" s="78"/>
      <c r="AL10" s="81">
        <f>SUM(AK7:AK9)</f>
        <v>51122.400000000001</v>
      </c>
      <c r="AM10" s="78"/>
      <c r="AN10" s="81">
        <f>SUM(AM7:AM9)</f>
        <v>51122.400000000001</v>
      </c>
      <c r="AO10" s="78"/>
      <c r="AP10" s="81">
        <f>SUM(AO7:AO9)</f>
        <v>51122.400000000001</v>
      </c>
      <c r="AQ10" s="78"/>
      <c r="AR10" s="81">
        <f>SUM(AQ7:AQ9)</f>
        <v>51722.400000000001</v>
      </c>
      <c r="AS10" s="78"/>
      <c r="AT10" s="81">
        <f>SUM(AS7:AS9)</f>
        <v>51722.400000000001</v>
      </c>
      <c r="AU10" s="78"/>
      <c r="AV10" s="81">
        <f>SUM(AU7:AU9)</f>
        <v>51722.400000000001</v>
      </c>
      <c r="AW10" s="82"/>
      <c r="AX10" s="83">
        <f>SUM(AW7:AW9)</f>
        <v>59870</v>
      </c>
      <c r="AY10" s="108"/>
      <c r="AZ10" s="109">
        <f>SUM(AY7:AY9)</f>
        <v>50670</v>
      </c>
      <c r="BA10" s="55"/>
      <c r="BB10" s="85">
        <f>AX10-AZ10</f>
        <v>9200</v>
      </c>
    </row>
    <row r="11" spans="1:55" ht="15.75" thickBot="1" x14ac:dyDescent="0.3">
      <c r="A11" s="95" t="s">
        <v>53</v>
      </c>
      <c r="B11" s="87" t="s">
        <v>54</v>
      </c>
      <c r="C11" s="59">
        <v>1</v>
      </c>
      <c r="D11" s="96" t="s">
        <v>55</v>
      </c>
      <c r="E11" s="97">
        <v>1000</v>
      </c>
      <c r="F11" s="98"/>
      <c r="G11" s="99">
        <v>1000</v>
      </c>
      <c r="H11" s="100"/>
      <c r="I11" s="99">
        <v>1000</v>
      </c>
      <c r="J11" s="100"/>
      <c r="K11" s="99">
        <v>1000</v>
      </c>
      <c r="L11" s="100"/>
      <c r="M11" s="63">
        <v>1000</v>
      </c>
      <c r="N11" s="64"/>
      <c r="O11" s="63">
        <v>1000</v>
      </c>
      <c r="P11" s="64"/>
      <c r="Q11" s="63">
        <v>1000</v>
      </c>
      <c r="R11" s="64"/>
      <c r="S11" s="47"/>
      <c r="T11" s="91"/>
      <c r="U11" s="63">
        <v>1000</v>
      </c>
      <c r="V11" s="64"/>
      <c r="W11" s="49">
        <f t="shared" ref="W11:W21" si="1">U11-Q11</f>
        <v>0</v>
      </c>
      <c r="X11" s="66"/>
      <c r="Y11" s="63">
        <v>1000</v>
      </c>
      <c r="Z11" s="64"/>
      <c r="AA11" s="63">
        <v>1000</v>
      </c>
      <c r="AB11" s="67"/>
      <c r="AC11" s="63">
        <v>1000</v>
      </c>
      <c r="AD11" s="67"/>
      <c r="AE11" s="63">
        <v>1000</v>
      </c>
      <c r="AF11" s="67"/>
      <c r="AG11" s="63">
        <v>1000</v>
      </c>
      <c r="AH11" s="67"/>
      <c r="AI11" s="63">
        <v>1000</v>
      </c>
      <c r="AJ11" s="67"/>
      <c r="AK11" s="63">
        <v>1000</v>
      </c>
      <c r="AL11" s="67"/>
      <c r="AM11" s="63">
        <v>1000</v>
      </c>
      <c r="AN11" s="67"/>
      <c r="AO11" s="63">
        <v>1000</v>
      </c>
      <c r="AP11" s="67"/>
      <c r="AQ11" s="63">
        <v>1000</v>
      </c>
      <c r="AR11" s="67"/>
      <c r="AS11" s="63">
        <v>1000</v>
      </c>
      <c r="AT11" s="67"/>
      <c r="AU11" s="63">
        <v>1000</v>
      </c>
      <c r="AV11" s="67"/>
      <c r="AW11" s="68">
        <v>1090</v>
      </c>
      <c r="AX11" s="69"/>
      <c r="AY11" s="110">
        <v>1000</v>
      </c>
      <c r="AZ11" s="111"/>
      <c r="BA11" s="55">
        <f t="shared" si="0"/>
        <v>90</v>
      </c>
      <c r="BB11" s="55"/>
    </row>
    <row r="12" spans="1:55" ht="15.75" thickBot="1" x14ac:dyDescent="0.3">
      <c r="A12" s="95"/>
      <c r="B12" s="59"/>
      <c r="C12" s="59">
        <f t="shared" ref="C12:C21" si="2">+C11+1</f>
        <v>2</v>
      </c>
      <c r="D12" s="96" t="s">
        <v>56</v>
      </c>
      <c r="E12" s="97">
        <v>350</v>
      </c>
      <c r="F12" s="98"/>
      <c r="G12" s="99">
        <v>350</v>
      </c>
      <c r="H12" s="100"/>
      <c r="I12" s="99">
        <v>350</v>
      </c>
      <c r="J12" s="100"/>
      <c r="K12" s="99">
        <v>350</v>
      </c>
      <c r="L12" s="100"/>
      <c r="M12" s="99">
        <v>350</v>
      </c>
      <c r="N12" s="100"/>
      <c r="O12" s="99">
        <v>350</v>
      </c>
      <c r="P12" s="100"/>
      <c r="Q12" s="99">
        <v>350</v>
      </c>
      <c r="R12" s="100"/>
      <c r="S12" s="47"/>
      <c r="T12" s="91"/>
      <c r="U12" s="99">
        <v>350</v>
      </c>
      <c r="V12" s="100"/>
      <c r="W12" s="49">
        <f t="shared" si="1"/>
        <v>0</v>
      </c>
      <c r="X12" s="66"/>
      <c r="Y12" s="99">
        <v>350</v>
      </c>
      <c r="Z12" s="100"/>
      <c r="AA12" s="99">
        <v>350</v>
      </c>
      <c r="AB12" s="101"/>
      <c r="AC12" s="99">
        <v>350</v>
      </c>
      <c r="AD12" s="101"/>
      <c r="AE12" s="99">
        <v>350</v>
      </c>
      <c r="AF12" s="101"/>
      <c r="AG12" s="99">
        <v>350</v>
      </c>
      <c r="AH12" s="101"/>
      <c r="AI12" s="99">
        <v>350</v>
      </c>
      <c r="AJ12" s="101"/>
      <c r="AK12" s="99">
        <v>350</v>
      </c>
      <c r="AL12" s="101"/>
      <c r="AM12" s="99">
        <v>350</v>
      </c>
      <c r="AN12" s="101"/>
      <c r="AO12" s="99">
        <v>350</v>
      </c>
      <c r="AP12" s="101"/>
      <c r="AQ12" s="99">
        <v>350</v>
      </c>
      <c r="AR12" s="101"/>
      <c r="AS12" s="99">
        <v>350</v>
      </c>
      <c r="AT12" s="101"/>
      <c r="AU12" s="99">
        <v>350</v>
      </c>
      <c r="AV12" s="101"/>
      <c r="AW12" s="102">
        <v>398</v>
      </c>
      <c r="AX12" s="103"/>
      <c r="AY12" s="104">
        <v>350</v>
      </c>
      <c r="AZ12" s="105"/>
      <c r="BA12" s="55">
        <f t="shared" si="0"/>
        <v>48</v>
      </c>
      <c r="BB12" s="55"/>
    </row>
    <row r="13" spans="1:55" ht="15.75" thickBot="1" x14ac:dyDescent="0.3">
      <c r="A13" s="95"/>
      <c r="B13" s="59"/>
      <c r="C13" s="59">
        <f t="shared" si="2"/>
        <v>3</v>
      </c>
      <c r="D13" s="96" t="s">
        <v>57</v>
      </c>
      <c r="E13" s="97">
        <v>120</v>
      </c>
      <c r="F13" s="98"/>
      <c r="G13" s="99">
        <v>120</v>
      </c>
      <c r="H13" s="100"/>
      <c r="I13" s="99">
        <v>120</v>
      </c>
      <c r="J13" s="100"/>
      <c r="K13" s="99">
        <v>120</v>
      </c>
      <c r="L13" s="100"/>
      <c r="M13" s="99">
        <v>120</v>
      </c>
      <c r="N13" s="100"/>
      <c r="O13" s="99">
        <v>120</v>
      </c>
      <c r="P13" s="100"/>
      <c r="Q13" s="99">
        <v>120</v>
      </c>
      <c r="R13" s="100"/>
      <c r="S13" s="47"/>
      <c r="T13" s="91"/>
      <c r="U13" s="99">
        <v>120</v>
      </c>
      <c r="V13" s="100"/>
      <c r="W13" s="49">
        <f t="shared" si="1"/>
        <v>0</v>
      </c>
      <c r="X13" s="66"/>
      <c r="Y13" s="99">
        <v>120</v>
      </c>
      <c r="Z13" s="100"/>
      <c r="AA13" s="99">
        <v>120</v>
      </c>
      <c r="AB13" s="101"/>
      <c r="AC13" s="99">
        <v>120</v>
      </c>
      <c r="AD13" s="101"/>
      <c r="AE13" s="99">
        <v>120</v>
      </c>
      <c r="AF13" s="101"/>
      <c r="AG13" s="99">
        <v>120</v>
      </c>
      <c r="AH13" s="101"/>
      <c r="AI13" s="99">
        <v>120</v>
      </c>
      <c r="AJ13" s="101"/>
      <c r="AK13" s="99">
        <v>120</v>
      </c>
      <c r="AL13" s="101"/>
      <c r="AM13" s="99">
        <v>120</v>
      </c>
      <c r="AN13" s="101"/>
      <c r="AO13" s="99">
        <v>120</v>
      </c>
      <c r="AP13" s="101"/>
      <c r="AQ13" s="99">
        <v>120</v>
      </c>
      <c r="AR13" s="101"/>
      <c r="AS13" s="99">
        <v>120</v>
      </c>
      <c r="AT13" s="101"/>
      <c r="AU13" s="99">
        <v>120</v>
      </c>
      <c r="AV13" s="101"/>
      <c r="AW13" s="102">
        <v>120</v>
      </c>
      <c r="AX13" s="103"/>
      <c r="AY13" s="104">
        <v>120</v>
      </c>
      <c r="AZ13" s="105"/>
      <c r="BA13" s="55">
        <f t="shared" si="0"/>
        <v>0</v>
      </c>
      <c r="BB13" s="55"/>
    </row>
    <row r="14" spans="1:55" ht="15.75" thickBot="1" x14ac:dyDescent="0.3">
      <c r="A14" s="95"/>
      <c r="B14" s="59"/>
      <c r="C14" s="59">
        <f t="shared" si="2"/>
        <v>4</v>
      </c>
      <c r="D14" s="96" t="s">
        <v>58</v>
      </c>
      <c r="E14" s="97">
        <v>865</v>
      </c>
      <c r="F14" s="98"/>
      <c r="G14" s="99">
        <v>865</v>
      </c>
      <c r="H14" s="100"/>
      <c r="I14" s="99">
        <v>865</v>
      </c>
      <c r="J14" s="100"/>
      <c r="K14" s="99">
        <v>865</v>
      </c>
      <c r="L14" s="100"/>
      <c r="M14" s="99">
        <v>865</v>
      </c>
      <c r="N14" s="100"/>
      <c r="O14" s="99">
        <v>865</v>
      </c>
      <c r="P14" s="100"/>
      <c r="Q14" s="99">
        <v>865</v>
      </c>
      <c r="R14" s="100"/>
      <c r="S14" s="47"/>
      <c r="T14" s="91"/>
      <c r="U14" s="99">
        <v>865</v>
      </c>
      <c r="V14" s="100"/>
      <c r="W14" s="49">
        <f t="shared" si="1"/>
        <v>0</v>
      </c>
      <c r="X14" s="66"/>
      <c r="Y14" s="99">
        <v>865</v>
      </c>
      <c r="Z14" s="100"/>
      <c r="AA14" s="99">
        <v>865</v>
      </c>
      <c r="AB14" s="101"/>
      <c r="AC14" s="99">
        <v>865</v>
      </c>
      <c r="AD14" s="101"/>
      <c r="AE14" s="99">
        <v>865</v>
      </c>
      <c r="AF14" s="101"/>
      <c r="AG14" s="99">
        <v>865</v>
      </c>
      <c r="AH14" s="101"/>
      <c r="AI14" s="99">
        <v>865</v>
      </c>
      <c r="AJ14" s="101"/>
      <c r="AK14" s="99">
        <v>865</v>
      </c>
      <c r="AL14" s="101"/>
      <c r="AM14" s="99">
        <v>865</v>
      </c>
      <c r="AN14" s="101"/>
      <c r="AO14" s="99">
        <v>865</v>
      </c>
      <c r="AP14" s="101"/>
      <c r="AQ14" s="99">
        <v>865</v>
      </c>
      <c r="AR14" s="101"/>
      <c r="AS14" s="99">
        <v>865</v>
      </c>
      <c r="AT14" s="101"/>
      <c r="AU14" s="99">
        <v>865</v>
      </c>
      <c r="AV14" s="101"/>
      <c r="AW14" s="102">
        <v>430</v>
      </c>
      <c r="AX14" s="103"/>
      <c r="AY14" s="104">
        <v>865</v>
      </c>
      <c r="AZ14" s="105"/>
      <c r="BA14" s="71">
        <f t="shared" si="0"/>
        <v>-435</v>
      </c>
      <c r="BB14" s="55"/>
      <c r="BC14" s="72" t="s">
        <v>59</v>
      </c>
    </row>
    <row r="15" spans="1:55" ht="15.75" thickBot="1" x14ac:dyDescent="0.3">
      <c r="A15" s="95"/>
      <c r="B15" s="59"/>
      <c r="C15" s="59">
        <f t="shared" si="2"/>
        <v>5</v>
      </c>
      <c r="D15" s="96" t="s">
        <v>60</v>
      </c>
      <c r="E15" s="97">
        <v>110</v>
      </c>
      <c r="F15" s="98"/>
      <c r="G15" s="99">
        <v>110</v>
      </c>
      <c r="H15" s="100"/>
      <c r="I15" s="99">
        <v>110</v>
      </c>
      <c r="J15" s="100"/>
      <c r="K15" s="99">
        <v>110</v>
      </c>
      <c r="L15" s="100"/>
      <c r="M15" s="99">
        <v>110</v>
      </c>
      <c r="N15" s="100"/>
      <c r="O15" s="99">
        <v>110</v>
      </c>
      <c r="P15" s="100"/>
      <c r="Q15" s="99">
        <v>110</v>
      </c>
      <c r="R15" s="100"/>
      <c r="S15" s="47"/>
      <c r="T15" s="91"/>
      <c r="U15" s="99">
        <v>110</v>
      </c>
      <c r="V15" s="100"/>
      <c r="W15" s="49">
        <f t="shared" si="1"/>
        <v>0</v>
      </c>
      <c r="X15" s="66"/>
      <c r="Y15" s="99">
        <v>110</v>
      </c>
      <c r="Z15" s="100"/>
      <c r="AA15" s="99">
        <v>110</v>
      </c>
      <c r="AB15" s="101"/>
      <c r="AC15" s="99">
        <v>110</v>
      </c>
      <c r="AD15" s="101"/>
      <c r="AE15" s="99">
        <v>110</v>
      </c>
      <c r="AF15" s="101"/>
      <c r="AG15" s="99">
        <v>110</v>
      </c>
      <c r="AH15" s="101"/>
      <c r="AI15" s="99">
        <v>110</v>
      </c>
      <c r="AJ15" s="101"/>
      <c r="AK15" s="99">
        <v>110</v>
      </c>
      <c r="AL15" s="101"/>
      <c r="AM15" s="99">
        <v>110</v>
      </c>
      <c r="AN15" s="101"/>
      <c r="AO15" s="99">
        <v>110</v>
      </c>
      <c r="AP15" s="101"/>
      <c r="AQ15" s="99">
        <v>110</v>
      </c>
      <c r="AR15" s="101"/>
      <c r="AS15" s="99">
        <v>110</v>
      </c>
      <c r="AT15" s="101"/>
      <c r="AU15" s="99">
        <v>110</v>
      </c>
      <c r="AV15" s="101"/>
      <c r="AW15" s="102">
        <v>115</v>
      </c>
      <c r="AX15" s="103"/>
      <c r="AY15" s="104">
        <v>110</v>
      </c>
      <c r="AZ15" s="105"/>
      <c r="BA15" s="55">
        <f t="shared" si="0"/>
        <v>5</v>
      </c>
      <c r="BB15" s="55"/>
    </row>
    <row r="16" spans="1:55" ht="15.75" thickBot="1" x14ac:dyDescent="0.3">
      <c r="A16" s="95"/>
      <c r="B16" s="59" t="s">
        <v>61</v>
      </c>
      <c r="C16" s="59">
        <f t="shared" si="2"/>
        <v>6</v>
      </c>
      <c r="D16" s="96" t="s">
        <v>62</v>
      </c>
      <c r="E16" s="97">
        <f>2500-35</f>
        <v>2465</v>
      </c>
      <c r="F16" s="98"/>
      <c r="G16" s="99">
        <f>2500-35</f>
        <v>2465</v>
      </c>
      <c r="H16" s="100"/>
      <c r="I16" s="99">
        <f>2500-35</f>
        <v>2465</v>
      </c>
      <c r="J16" s="100"/>
      <c r="K16" s="99">
        <f>2500-35</f>
        <v>2465</v>
      </c>
      <c r="L16" s="100"/>
      <c r="M16" s="99">
        <f>2500-35</f>
        <v>2465</v>
      </c>
      <c r="N16" s="100"/>
      <c r="O16" s="99">
        <f>2500-35</f>
        <v>2465</v>
      </c>
      <c r="P16" s="100"/>
      <c r="Q16" s="99">
        <f>2500-35</f>
        <v>2465</v>
      </c>
      <c r="R16" s="100"/>
      <c r="S16" s="47"/>
      <c r="T16" s="91"/>
      <c r="U16" s="99">
        <f>2500-35</f>
        <v>2465</v>
      </c>
      <c r="V16" s="100"/>
      <c r="W16" s="49">
        <f t="shared" si="1"/>
        <v>0</v>
      </c>
      <c r="X16" s="66"/>
      <c r="Y16" s="99">
        <f>2500-35</f>
        <v>2465</v>
      </c>
      <c r="Z16" s="100"/>
      <c r="AA16" s="99">
        <f>2500-35</f>
        <v>2465</v>
      </c>
      <c r="AB16" s="101"/>
      <c r="AC16" s="99">
        <f>2500-35</f>
        <v>2465</v>
      </c>
      <c r="AD16" s="101"/>
      <c r="AE16" s="99">
        <f>2500-35</f>
        <v>2465</v>
      </c>
      <c r="AF16" s="101"/>
      <c r="AG16" s="99">
        <f>2500-35</f>
        <v>2465</v>
      </c>
      <c r="AH16" s="101"/>
      <c r="AI16" s="99">
        <f>2500-35</f>
        <v>2465</v>
      </c>
      <c r="AJ16" s="101"/>
      <c r="AK16" s="99">
        <f>2500-35</f>
        <v>2465</v>
      </c>
      <c r="AL16" s="101"/>
      <c r="AM16" s="99">
        <f>2500-35</f>
        <v>2465</v>
      </c>
      <c r="AN16" s="101"/>
      <c r="AO16" s="99">
        <f>2500-35</f>
        <v>2465</v>
      </c>
      <c r="AP16" s="101"/>
      <c r="AQ16" s="99">
        <f>2500-35</f>
        <v>2465</v>
      </c>
      <c r="AR16" s="101"/>
      <c r="AS16" s="99">
        <f>2500-35</f>
        <v>2465</v>
      </c>
      <c r="AT16" s="101"/>
      <c r="AU16" s="99">
        <f>2500-35</f>
        <v>2465</v>
      </c>
      <c r="AV16" s="101"/>
      <c r="AW16" s="102">
        <v>2420</v>
      </c>
      <c r="AX16" s="103"/>
      <c r="AY16" s="104">
        <f>2500-35</f>
        <v>2465</v>
      </c>
      <c r="AZ16" s="105"/>
      <c r="BA16" s="71">
        <f t="shared" si="0"/>
        <v>-45</v>
      </c>
      <c r="BB16" s="55"/>
      <c r="BC16" s="72" t="s">
        <v>63</v>
      </c>
    </row>
    <row r="17" spans="1:55" ht="15.75" thickBot="1" x14ac:dyDescent="0.3">
      <c r="A17" s="95"/>
      <c r="B17" s="59" t="s">
        <v>64</v>
      </c>
      <c r="C17" s="59">
        <f t="shared" si="2"/>
        <v>7</v>
      </c>
      <c r="D17" s="96" t="s">
        <v>65</v>
      </c>
      <c r="E17" s="97">
        <v>112</v>
      </c>
      <c r="F17" s="98"/>
      <c r="G17" s="99">
        <v>112</v>
      </c>
      <c r="H17" s="100"/>
      <c r="I17" s="99">
        <v>112</v>
      </c>
      <c r="J17" s="100"/>
      <c r="K17" s="99">
        <v>112</v>
      </c>
      <c r="L17" s="100"/>
      <c r="M17" s="99">
        <v>112</v>
      </c>
      <c r="N17" s="100"/>
      <c r="O17" s="99">
        <v>112</v>
      </c>
      <c r="P17" s="100"/>
      <c r="Q17" s="99">
        <v>112</v>
      </c>
      <c r="R17" s="100"/>
      <c r="S17" s="47"/>
      <c r="T17" s="91"/>
      <c r="U17" s="99">
        <v>112</v>
      </c>
      <c r="V17" s="100"/>
      <c r="W17" s="49">
        <f t="shared" si="1"/>
        <v>0</v>
      </c>
      <c r="X17" s="66"/>
      <c r="Y17" s="99">
        <v>112</v>
      </c>
      <c r="Z17" s="100"/>
      <c r="AA17" s="99">
        <v>112</v>
      </c>
      <c r="AB17" s="101"/>
      <c r="AC17" s="99">
        <v>112</v>
      </c>
      <c r="AD17" s="101"/>
      <c r="AE17" s="99">
        <v>112</v>
      </c>
      <c r="AF17" s="101"/>
      <c r="AG17" s="99">
        <v>112</v>
      </c>
      <c r="AH17" s="101"/>
      <c r="AI17" s="99">
        <v>112</v>
      </c>
      <c r="AJ17" s="101"/>
      <c r="AK17" s="99">
        <v>112</v>
      </c>
      <c r="AL17" s="101"/>
      <c r="AM17" s="99">
        <v>112</v>
      </c>
      <c r="AN17" s="101"/>
      <c r="AO17" s="99">
        <v>112</v>
      </c>
      <c r="AP17" s="101"/>
      <c r="AQ17" s="99">
        <v>112</v>
      </c>
      <c r="AR17" s="101"/>
      <c r="AS17" s="99">
        <v>112</v>
      </c>
      <c r="AT17" s="101"/>
      <c r="AU17" s="99">
        <v>112</v>
      </c>
      <c r="AV17" s="101"/>
      <c r="AW17" s="102">
        <v>112</v>
      </c>
      <c r="AX17" s="103"/>
      <c r="AY17" s="104">
        <v>112</v>
      </c>
      <c r="AZ17" s="105"/>
      <c r="BA17" s="55">
        <f t="shared" si="0"/>
        <v>0</v>
      </c>
      <c r="BB17" s="55"/>
    </row>
    <row r="18" spans="1:55" ht="15.75" thickBot="1" x14ac:dyDescent="0.3">
      <c r="A18" s="95"/>
      <c r="B18" s="59"/>
      <c r="C18" s="59">
        <f t="shared" si="2"/>
        <v>8</v>
      </c>
      <c r="D18" s="96" t="s">
        <v>66</v>
      </c>
      <c r="E18" s="97">
        <f>198-15</f>
        <v>183</v>
      </c>
      <c r="F18" s="98"/>
      <c r="G18" s="99">
        <f>198-15</f>
        <v>183</v>
      </c>
      <c r="H18" s="100"/>
      <c r="I18" s="99">
        <f>198-15</f>
        <v>183</v>
      </c>
      <c r="J18" s="100"/>
      <c r="K18" s="99">
        <f>198-15</f>
        <v>183</v>
      </c>
      <c r="L18" s="100"/>
      <c r="M18" s="99">
        <f>198-15</f>
        <v>183</v>
      </c>
      <c r="N18" s="100"/>
      <c r="O18" s="99">
        <f>198-15</f>
        <v>183</v>
      </c>
      <c r="P18" s="100"/>
      <c r="Q18" s="99">
        <f>198-15</f>
        <v>183</v>
      </c>
      <c r="R18" s="100"/>
      <c r="S18" s="47"/>
      <c r="T18" s="91"/>
      <c r="U18" s="99">
        <f>198-15</f>
        <v>183</v>
      </c>
      <c r="V18" s="100"/>
      <c r="W18" s="49">
        <f t="shared" si="1"/>
        <v>0</v>
      </c>
      <c r="X18" s="66"/>
      <c r="Y18" s="99">
        <f>198-15</f>
        <v>183</v>
      </c>
      <c r="Z18" s="100"/>
      <c r="AA18" s="99">
        <f>198-15</f>
        <v>183</v>
      </c>
      <c r="AB18" s="101"/>
      <c r="AC18" s="99">
        <f>198-15</f>
        <v>183</v>
      </c>
      <c r="AD18" s="101"/>
      <c r="AE18" s="99">
        <f>198-15</f>
        <v>183</v>
      </c>
      <c r="AF18" s="101"/>
      <c r="AG18" s="99">
        <f>198-15</f>
        <v>183</v>
      </c>
      <c r="AH18" s="101"/>
      <c r="AI18" s="99">
        <f>198-15</f>
        <v>183</v>
      </c>
      <c r="AJ18" s="101"/>
      <c r="AK18" s="99">
        <f>198-15</f>
        <v>183</v>
      </c>
      <c r="AL18" s="101"/>
      <c r="AM18" s="99">
        <f>198-15</f>
        <v>183</v>
      </c>
      <c r="AN18" s="101"/>
      <c r="AO18" s="99">
        <f>198-15</f>
        <v>183</v>
      </c>
      <c r="AP18" s="101"/>
      <c r="AQ18" s="99">
        <f>198-15</f>
        <v>183</v>
      </c>
      <c r="AR18" s="101"/>
      <c r="AS18" s="99">
        <f>198-15</f>
        <v>183</v>
      </c>
      <c r="AT18" s="101"/>
      <c r="AU18" s="99">
        <f>198-15</f>
        <v>183</v>
      </c>
      <c r="AV18" s="101"/>
      <c r="AW18" s="102">
        <v>120</v>
      </c>
      <c r="AX18" s="103"/>
      <c r="AY18" s="104">
        <f>198-15</f>
        <v>183</v>
      </c>
      <c r="AZ18" s="105"/>
      <c r="BA18" s="71">
        <f t="shared" si="0"/>
        <v>-63</v>
      </c>
      <c r="BB18" s="55"/>
      <c r="BC18" s="106" t="s">
        <v>67</v>
      </c>
    </row>
    <row r="19" spans="1:55" ht="15.75" thickBot="1" x14ac:dyDescent="0.3">
      <c r="A19" s="95"/>
      <c r="B19" s="59"/>
      <c r="C19" s="59">
        <f t="shared" si="2"/>
        <v>9</v>
      </c>
      <c r="D19" s="96" t="s">
        <v>68</v>
      </c>
      <c r="E19" s="97">
        <v>60</v>
      </c>
      <c r="F19" s="98"/>
      <c r="G19" s="99">
        <v>60</v>
      </c>
      <c r="H19" s="100"/>
      <c r="I19" s="99">
        <v>60</v>
      </c>
      <c r="J19" s="100"/>
      <c r="K19" s="99">
        <v>60</v>
      </c>
      <c r="L19" s="100"/>
      <c r="M19" s="99">
        <v>60</v>
      </c>
      <c r="N19" s="100"/>
      <c r="O19" s="99">
        <v>60</v>
      </c>
      <c r="P19" s="100"/>
      <c r="Q19" s="99">
        <v>60</v>
      </c>
      <c r="R19" s="100"/>
      <c r="S19" s="47"/>
      <c r="T19" s="91"/>
      <c r="U19" s="99">
        <v>60</v>
      </c>
      <c r="V19" s="100"/>
      <c r="W19" s="49">
        <f t="shared" si="1"/>
        <v>0</v>
      </c>
      <c r="X19" s="66"/>
      <c r="Y19" s="99">
        <v>60</v>
      </c>
      <c r="Z19" s="100"/>
      <c r="AA19" s="99">
        <v>60</v>
      </c>
      <c r="AB19" s="101"/>
      <c r="AC19" s="99">
        <v>60</v>
      </c>
      <c r="AD19" s="101"/>
      <c r="AE19" s="99">
        <v>60</v>
      </c>
      <c r="AF19" s="101"/>
      <c r="AG19" s="99">
        <v>60</v>
      </c>
      <c r="AH19" s="101"/>
      <c r="AI19" s="99">
        <v>60</v>
      </c>
      <c r="AJ19" s="101"/>
      <c r="AK19" s="99">
        <v>60</v>
      </c>
      <c r="AL19" s="101"/>
      <c r="AM19" s="99">
        <v>60</v>
      </c>
      <c r="AN19" s="101"/>
      <c r="AO19" s="99">
        <v>60</v>
      </c>
      <c r="AP19" s="101"/>
      <c r="AQ19" s="99">
        <v>60</v>
      </c>
      <c r="AR19" s="101"/>
      <c r="AS19" s="99">
        <v>60</v>
      </c>
      <c r="AT19" s="101"/>
      <c r="AU19" s="99">
        <v>60</v>
      </c>
      <c r="AV19" s="101"/>
      <c r="AW19" s="102">
        <v>60</v>
      </c>
      <c r="AX19" s="103"/>
      <c r="AY19" s="104">
        <v>60</v>
      </c>
      <c r="AZ19" s="105"/>
      <c r="BA19" s="55">
        <f t="shared" si="0"/>
        <v>0</v>
      </c>
      <c r="BB19" s="55"/>
    </row>
    <row r="20" spans="1:55" ht="15.75" thickBot="1" x14ac:dyDescent="0.3">
      <c r="A20" s="112"/>
      <c r="B20" s="113"/>
      <c r="C20" s="59">
        <f>+C19+1</f>
        <v>10</v>
      </c>
      <c r="D20" s="114" t="s">
        <v>69</v>
      </c>
      <c r="E20" s="115">
        <f>3150-215+35+15</f>
        <v>2985</v>
      </c>
      <c r="F20" s="116"/>
      <c r="G20" s="117">
        <f>3150-215+35+15+30</f>
        <v>3015</v>
      </c>
      <c r="H20" s="118"/>
      <c r="I20" s="117">
        <f>3150-215+35+15+30</f>
        <v>3015</v>
      </c>
      <c r="J20" s="118"/>
      <c r="K20" s="117">
        <f>3150-215+35+15+30</f>
        <v>3015</v>
      </c>
      <c r="L20" s="118"/>
      <c r="M20" s="117">
        <f>3150-215+35+15+30</f>
        <v>3015</v>
      </c>
      <c r="N20" s="118"/>
      <c r="O20" s="117">
        <f>3150-215+35+15+30</f>
        <v>3015</v>
      </c>
      <c r="P20" s="118"/>
      <c r="Q20" s="117">
        <f>3150-215+35+15+30</f>
        <v>3015</v>
      </c>
      <c r="R20" s="118"/>
      <c r="S20" s="47"/>
      <c r="T20" s="91"/>
      <c r="U20" s="117">
        <f>3150-215+35+15+30</f>
        <v>3015</v>
      </c>
      <c r="V20" s="118"/>
      <c r="W20" s="49">
        <f t="shared" si="1"/>
        <v>0</v>
      </c>
      <c r="X20" s="66"/>
      <c r="Y20" s="117">
        <f>3150-215+35+15+30</f>
        <v>3015</v>
      </c>
      <c r="Z20" s="118"/>
      <c r="AA20" s="117">
        <f>3150-215+35+15+30</f>
        <v>3015</v>
      </c>
      <c r="AB20" s="119"/>
      <c r="AC20" s="117">
        <f>3150-215+35+15+30</f>
        <v>3015</v>
      </c>
      <c r="AD20" s="119"/>
      <c r="AE20" s="117">
        <f>3150-215+35+15+30</f>
        <v>3015</v>
      </c>
      <c r="AF20" s="119"/>
      <c r="AG20" s="117">
        <f>3150-215+35+15+30</f>
        <v>3015</v>
      </c>
      <c r="AH20" s="119"/>
      <c r="AI20" s="117">
        <f>3150-215+35+15+30</f>
        <v>3015</v>
      </c>
      <c r="AJ20" s="119"/>
      <c r="AK20" s="117">
        <f>3150-215+35+15+30</f>
        <v>3015</v>
      </c>
      <c r="AL20" s="119"/>
      <c r="AM20" s="117">
        <f>3150-215+35+15+30</f>
        <v>3015</v>
      </c>
      <c r="AN20" s="119"/>
      <c r="AO20" s="117">
        <f>3150-215+35+15+30</f>
        <v>3015</v>
      </c>
      <c r="AP20" s="119"/>
      <c r="AQ20" s="117">
        <f>3150-215+35+15+30</f>
        <v>3015</v>
      </c>
      <c r="AR20" s="119"/>
      <c r="AS20" s="117">
        <f>3150-215+35+15+30</f>
        <v>3015</v>
      </c>
      <c r="AT20" s="119"/>
      <c r="AU20" s="117">
        <f>3150-215+35+15+30</f>
        <v>3015</v>
      </c>
      <c r="AV20" s="119"/>
      <c r="AW20" s="120">
        <v>3025</v>
      </c>
      <c r="AX20" s="121"/>
      <c r="AY20" s="122">
        <f>3150-215+35+15+30</f>
        <v>3015</v>
      </c>
      <c r="AZ20" s="123"/>
      <c r="BA20" s="55">
        <f t="shared" si="0"/>
        <v>10</v>
      </c>
      <c r="BB20" s="55"/>
    </row>
    <row r="21" spans="1:55" ht="15.75" thickBot="1" x14ac:dyDescent="0.3">
      <c r="A21" s="112"/>
      <c r="B21" s="113" t="s">
        <v>70</v>
      </c>
      <c r="C21" s="59">
        <f t="shared" si="2"/>
        <v>11</v>
      </c>
      <c r="D21" s="114" t="s">
        <v>71</v>
      </c>
      <c r="E21" s="115">
        <v>100</v>
      </c>
      <c r="F21" s="116"/>
      <c r="G21" s="117">
        <v>100</v>
      </c>
      <c r="H21" s="118"/>
      <c r="I21" s="117">
        <v>100</v>
      </c>
      <c r="J21" s="118"/>
      <c r="K21" s="117">
        <v>100</v>
      </c>
      <c r="L21" s="118"/>
      <c r="M21" s="117">
        <v>100</v>
      </c>
      <c r="N21" s="118"/>
      <c r="O21" s="117">
        <v>100</v>
      </c>
      <c r="P21" s="118"/>
      <c r="Q21" s="117">
        <v>100</v>
      </c>
      <c r="R21" s="118"/>
      <c r="S21" s="47"/>
      <c r="T21" s="91"/>
      <c r="U21" s="117">
        <v>100</v>
      </c>
      <c r="V21" s="118"/>
      <c r="W21" s="49">
        <f t="shared" si="1"/>
        <v>0</v>
      </c>
      <c r="X21" s="66"/>
      <c r="Y21" s="117">
        <v>100</v>
      </c>
      <c r="Z21" s="118"/>
      <c r="AA21" s="117">
        <v>100</v>
      </c>
      <c r="AB21" s="119"/>
      <c r="AC21" s="117">
        <v>100</v>
      </c>
      <c r="AD21" s="119"/>
      <c r="AE21" s="117">
        <v>100</v>
      </c>
      <c r="AF21" s="119"/>
      <c r="AG21" s="117">
        <v>100</v>
      </c>
      <c r="AH21" s="119"/>
      <c r="AI21" s="117">
        <v>100</v>
      </c>
      <c r="AJ21" s="119"/>
      <c r="AK21" s="117">
        <v>100</v>
      </c>
      <c r="AL21" s="119"/>
      <c r="AM21" s="117">
        <v>100</v>
      </c>
      <c r="AN21" s="119"/>
      <c r="AO21" s="117">
        <v>100</v>
      </c>
      <c r="AP21" s="119"/>
      <c r="AQ21" s="117">
        <v>100</v>
      </c>
      <c r="AR21" s="119"/>
      <c r="AS21" s="117">
        <v>100</v>
      </c>
      <c r="AT21" s="119"/>
      <c r="AU21" s="117">
        <v>100</v>
      </c>
      <c r="AV21" s="119"/>
      <c r="AW21" s="120">
        <v>107</v>
      </c>
      <c r="AX21" s="121"/>
      <c r="AY21" s="122">
        <v>100</v>
      </c>
      <c r="AZ21" s="123"/>
      <c r="BA21" s="55">
        <f t="shared" si="0"/>
        <v>7</v>
      </c>
      <c r="BB21" s="55"/>
    </row>
    <row r="22" spans="1:55" ht="15.75" thickBot="1" x14ac:dyDescent="0.3">
      <c r="A22" s="73"/>
      <c r="B22" s="74"/>
      <c r="C22" s="74"/>
      <c r="D22" s="75" t="s">
        <v>44</v>
      </c>
      <c r="E22" s="76"/>
      <c r="F22" s="77">
        <f>SUM(E11:E21)</f>
        <v>8350</v>
      </c>
      <c r="G22" s="78"/>
      <c r="H22" s="79">
        <f>SUM(G11:G21)</f>
        <v>8380</v>
      </c>
      <c r="I22" s="78"/>
      <c r="J22" s="79">
        <f>SUM(I11:I21)</f>
        <v>8380</v>
      </c>
      <c r="K22" s="78"/>
      <c r="L22" s="79">
        <f>SUM(K11:K21)</f>
        <v>8380</v>
      </c>
      <c r="M22" s="78"/>
      <c r="N22" s="79">
        <f>SUM(M11:M21)</f>
        <v>8380</v>
      </c>
      <c r="O22" s="78"/>
      <c r="P22" s="79">
        <f>SUM(O11:O21)</f>
        <v>8380</v>
      </c>
      <c r="Q22" s="78"/>
      <c r="R22" s="79">
        <f>SUM(Q11:Q21)</f>
        <v>8380</v>
      </c>
      <c r="S22" s="80">
        <f>R22-P22</f>
        <v>0</v>
      </c>
      <c r="T22" s="91"/>
      <c r="U22" s="78"/>
      <c r="V22" s="79">
        <f>SUM(U11:U21)</f>
        <v>8380</v>
      </c>
      <c r="W22" s="49"/>
      <c r="X22" s="66"/>
      <c r="Y22" s="78"/>
      <c r="Z22" s="79">
        <f>SUM(Y11:Y21)</f>
        <v>8380</v>
      </c>
      <c r="AA22" s="78"/>
      <c r="AB22" s="81">
        <f>SUM(AA11:AA21)</f>
        <v>8380</v>
      </c>
      <c r="AC22" s="78"/>
      <c r="AD22" s="81">
        <f>SUM(AC11:AC21)</f>
        <v>8380</v>
      </c>
      <c r="AE22" s="78"/>
      <c r="AF22" s="81">
        <f>SUM(AE11:AE21)</f>
        <v>8380</v>
      </c>
      <c r="AG22" s="78"/>
      <c r="AH22" s="81">
        <f>SUM(AG11:AG21)</f>
        <v>8380</v>
      </c>
      <c r="AI22" s="78"/>
      <c r="AJ22" s="81">
        <f>SUM(AI11:AI21)</f>
        <v>8380</v>
      </c>
      <c r="AK22" s="78"/>
      <c r="AL22" s="81">
        <f>SUM(AK11:AK21)</f>
        <v>8380</v>
      </c>
      <c r="AM22" s="78"/>
      <c r="AN22" s="81">
        <f>SUM(AM11:AM21)</f>
        <v>8380</v>
      </c>
      <c r="AO22" s="78"/>
      <c r="AP22" s="81">
        <f>SUM(AO11:AO21)</f>
        <v>8380</v>
      </c>
      <c r="AQ22" s="78"/>
      <c r="AR22" s="81">
        <f>SUM(AQ11:AQ21)</f>
        <v>8380</v>
      </c>
      <c r="AS22" s="78"/>
      <c r="AT22" s="81">
        <f>SUM(AS11:AS21)</f>
        <v>8380</v>
      </c>
      <c r="AU22" s="78"/>
      <c r="AV22" s="81">
        <f>SUM(AU11:AU21)</f>
        <v>8380</v>
      </c>
      <c r="AW22" s="82"/>
      <c r="AX22" s="83">
        <f>SUM(AW11:AW21)</f>
        <v>7997</v>
      </c>
      <c r="AY22" s="108"/>
      <c r="AZ22" s="109">
        <f>SUM(AY11:AY21)</f>
        <v>8380</v>
      </c>
      <c r="BA22" s="55"/>
      <c r="BB22" s="85">
        <f>AX22-AZ22</f>
        <v>-383</v>
      </c>
    </row>
    <row r="23" spans="1:55" ht="15.75" thickBot="1" x14ac:dyDescent="0.3">
      <c r="A23" s="40" t="s">
        <v>72</v>
      </c>
      <c r="B23" s="41" t="s">
        <v>73</v>
      </c>
      <c r="C23" s="41">
        <v>1</v>
      </c>
      <c r="D23" s="42" t="s">
        <v>74</v>
      </c>
      <c r="E23" s="124">
        <v>50</v>
      </c>
      <c r="F23" s="44"/>
      <c r="G23" s="89">
        <v>50</v>
      </c>
      <c r="H23" s="46"/>
      <c r="I23" s="89">
        <v>50</v>
      </c>
      <c r="J23" s="46"/>
      <c r="K23" s="89">
        <v>121</v>
      </c>
      <c r="L23" s="46"/>
      <c r="M23" s="89">
        <v>121</v>
      </c>
      <c r="N23" s="46"/>
      <c r="O23" s="89">
        <f>121+47</f>
        <v>168</v>
      </c>
      <c r="P23" s="46"/>
      <c r="Q23" s="89">
        <v>100</v>
      </c>
      <c r="R23" s="46"/>
      <c r="S23" s="90"/>
      <c r="T23" s="91"/>
      <c r="U23" s="89">
        <v>100</v>
      </c>
      <c r="V23" s="46"/>
      <c r="W23" s="49">
        <f>U23-Q23</f>
        <v>0</v>
      </c>
      <c r="X23" s="66"/>
      <c r="Y23" s="89">
        <v>100</v>
      </c>
      <c r="Z23" s="46"/>
      <c r="AA23" s="89">
        <v>100</v>
      </c>
      <c r="AB23" s="49"/>
      <c r="AC23" s="89">
        <v>100</v>
      </c>
      <c r="AD23" s="49"/>
      <c r="AE23" s="89">
        <v>100</v>
      </c>
      <c r="AF23" s="49"/>
      <c r="AG23" s="89">
        <v>100</v>
      </c>
      <c r="AH23" s="49"/>
      <c r="AI23" s="89">
        <v>100</v>
      </c>
      <c r="AJ23" s="49"/>
      <c r="AK23" s="89">
        <v>100</v>
      </c>
      <c r="AL23" s="49"/>
      <c r="AM23" s="89">
        <v>100</v>
      </c>
      <c r="AN23" s="49"/>
      <c r="AO23" s="89">
        <v>100</v>
      </c>
      <c r="AP23" s="49"/>
      <c r="AQ23" s="89">
        <v>100</v>
      </c>
      <c r="AR23" s="49"/>
      <c r="AS23" s="89">
        <v>100</v>
      </c>
      <c r="AT23" s="49"/>
      <c r="AU23" s="89">
        <v>100</v>
      </c>
      <c r="AV23" s="49"/>
      <c r="AW23" s="92">
        <v>100</v>
      </c>
      <c r="AX23" s="52"/>
      <c r="AY23" s="93">
        <v>100</v>
      </c>
      <c r="AZ23" s="94"/>
      <c r="BA23" s="55">
        <f t="shared" si="0"/>
        <v>0</v>
      </c>
      <c r="BB23" s="55"/>
    </row>
    <row r="24" spans="1:55" ht="15.75" thickBot="1" x14ac:dyDescent="0.3">
      <c r="A24" s="95"/>
      <c r="B24" s="59" t="s">
        <v>75</v>
      </c>
      <c r="C24" s="59">
        <v>2</v>
      </c>
      <c r="D24" s="96" t="s">
        <v>76</v>
      </c>
      <c r="E24" s="97">
        <v>800</v>
      </c>
      <c r="F24" s="98"/>
      <c r="G24" s="99">
        <v>885.6</v>
      </c>
      <c r="H24" s="100"/>
      <c r="I24" s="99">
        <v>885.6</v>
      </c>
      <c r="J24" s="100"/>
      <c r="K24" s="99">
        <v>885.6</v>
      </c>
      <c r="L24" s="100"/>
      <c r="M24" s="99">
        <f>885.6</f>
        <v>885.6</v>
      </c>
      <c r="N24" s="100"/>
      <c r="O24" s="99">
        <f>885.6+713.4+991</f>
        <v>2590</v>
      </c>
      <c r="P24" s="100"/>
      <c r="Q24" s="99">
        <v>1000</v>
      </c>
      <c r="R24" s="100"/>
      <c r="S24" s="47"/>
      <c r="T24" s="91" t="s">
        <v>77</v>
      </c>
      <c r="U24" s="99">
        <v>1000</v>
      </c>
      <c r="V24" s="100"/>
      <c r="W24" s="49">
        <f>U24-Q24</f>
        <v>0</v>
      </c>
      <c r="X24" s="66"/>
      <c r="Y24" s="99">
        <v>1000</v>
      </c>
      <c r="Z24" s="100"/>
      <c r="AA24" s="99">
        <v>1000</v>
      </c>
      <c r="AB24" s="101"/>
      <c r="AC24" s="99">
        <v>1000</v>
      </c>
      <c r="AD24" s="101"/>
      <c r="AE24" s="99">
        <v>1000</v>
      </c>
      <c r="AF24" s="101"/>
      <c r="AG24" s="99">
        <v>1000</v>
      </c>
      <c r="AH24" s="101"/>
      <c r="AI24" s="99">
        <v>1000</v>
      </c>
      <c r="AJ24" s="101"/>
      <c r="AK24" s="99">
        <v>1000</v>
      </c>
      <c r="AL24" s="101"/>
      <c r="AM24" s="99">
        <v>1000</v>
      </c>
      <c r="AN24" s="101"/>
      <c r="AO24" s="99">
        <v>1000</v>
      </c>
      <c r="AP24" s="101"/>
      <c r="AQ24" s="99">
        <v>1000</v>
      </c>
      <c r="AR24" s="101"/>
      <c r="AS24" s="99">
        <v>1000</v>
      </c>
      <c r="AT24" s="101"/>
      <c r="AU24" s="99">
        <v>1000</v>
      </c>
      <c r="AV24" s="101"/>
      <c r="AW24" s="102">
        <v>2795</v>
      </c>
      <c r="AX24" s="103"/>
      <c r="AY24" s="104">
        <v>1000</v>
      </c>
      <c r="AZ24" s="105"/>
      <c r="BA24" s="55">
        <f t="shared" si="0"/>
        <v>1795</v>
      </c>
      <c r="BB24" s="55"/>
    </row>
    <row r="25" spans="1:55" ht="15.75" thickBot="1" x14ac:dyDescent="0.3">
      <c r="A25" s="95"/>
      <c r="B25" s="59"/>
      <c r="C25" s="59">
        <v>3</v>
      </c>
      <c r="D25" s="96" t="s">
        <v>78</v>
      </c>
      <c r="E25" s="97"/>
      <c r="F25" s="98"/>
      <c r="G25" s="99"/>
      <c r="H25" s="100"/>
      <c r="I25" s="99"/>
      <c r="J25" s="100"/>
      <c r="K25" s="99"/>
      <c r="L25" s="100"/>
      <c r="M25" s="99"/>
      <c r="N25" s="100"/>
      <c r="O25" s="99"/>
      <c r="P25" s="100"/>
      <c r="Q25" s="99">
        <v>0</v>
      </c>
      <c r="R25" s="100"/>
      <c r="S25" s="47"/>
      <c r="T25" s="91"/>
      <c r="U25" s="99"/>
      <c r="V25" s="100"/>
      <c r="W25" s="49">
        <f>U25-Q25</f>
        <v>0</v>
      </c>
      <c r="X25" s="66"/>
      <c r="Y25" s="99">
        <v>1400</v>
      </c>
      <c r="Z25" s="100"/>
      <c r="AA25" s="99">
        <v>1400</v>
      </c>
      <c r="AB25" s="101"/>
      <c r="AC25" s="99">
        <v>1400</v>
      </c>
      <c r="AD25" s="101"/>
      <c r="AE25" s="99">
        <v>1400</v>
      </c>
      <c r="AF25" s="101"/>
      <c r="AG25" s="99">
        <v>1400</v>
      </c>
      <c r="AH25" s="101"/>
      <c r="AI25" s="99">
        <v>1400</v>
      </c>
      <c r="AJ25" s="101"/>
      <c r="AK25" s="99">
        <v>1400</v>
      </c>
      <c r="AL25" s="101"/>
      <c r="AM25" s="99">
        <v>1400</v>
      </c>
      <c r="AN25" s="101"/>
      <c r="AO25" s="99">
        <v>1400</v>
      </c>
      <c r="AP25" s="101"/>
      <c r="AQ25" s="99">
        <v>1400</v>
      </c>
      <c r="AR25" s="101"/>
      <c r="AS25" s="99">
        <v>1400</v>
      </c>
      <c r="AT25" s="101"/>
      <c r="AU25" s="99">
        <v>1400</v>
      </c>
      <c r="AV25" s="101"/>
      <c r="AW25" s="102">
        <v>15672</v>
      </c>
      <c r="AX25" s="125" t="s">
        <v>79</v>
      </c>
      <c r="AY25" s="122"/>
      <c r="AZ25" s="123"/>
      <c r="BA25" s="55">
        <f t="shared" si="0"/>
        <v>15672</v>
      </c>
      <c r="BB25" s="55"/>
    </row>
    <row r="26" spans="1:55" ht="15.75" thickBot="1" x14ac:dyDescent="0.3">
      <c r="A26" s="112"/>
      <c r="B26" s="113"/>
      <c r="C26" s="59">
        <v>4</v>
      </c>
      <c r="D26" s="114" t="s">
        <v>80</v>
      </c>
      <c r="E26" s="115">
        <v>211</v>
      </c>
      <c r="F26" s="116"/>
      <c r="G26" s="117">
        <v>211</v>
      </c>
      <c r="H26" s="118"/>
      <c r="I26" s="117">
        <v>211</v>
      </c>
      <c r="J26" s="118"/>
      <c r="K26" s="117">
        <v>211</v>
      </c>
      <c r="L26" s="118"/>
      <c r="M26" s="117">
        <v>211</v>
      </c>
      <c r="N26" s="118"/>
      <c r="O26" s="117">
        <v>211</v>
      </c>
      <c r="P26" s="118"/>
      <c r="Q26" s="117">
        <v>99.8</v>
      </c>
      <c r="R26" s="118"/>
      <c r="S26" s="47"/>
      <c r="T26" s="126"/>
      <c r="U26" s="117">
        <v>99.8</v>
      </c>
      <c r="V26" s="118"/>
      <c r="W26" s="49">
        <f>U26-Q26</f>
        <v>0</v>
      </c>
      <c r="X26" s="66"/>
      <c r="Y26" s="117">
        <v>99.8</v>
      </c>
      <c r="Z26" s="118"/>
      <c r="AA26" s="117">
        <v>99.8</v>
      </c>
      <c r="AB26" s="119"/>
      <c r="AC26" s="117">
        <v>99.8</v>
      </c>
      <c r="AD26" s="119"/>
      <c r="AE26" s="117">
        <v>99.8</v>
      </c>
      <c r="AF26" s="119"/>
      <c r="AG26" s="117">
        <v>99.8</v>
      </c>
      <c r="AH26" s="119"/>
      <c r="AI26" s="117">
        <v>99.8</v>
      </c>
      <c r="AJ26" s="119"/>
      <c r="AK26" s="117">
        <v>99.8</v>
      </c>
      <c r="AL26" s="119"/>
      <c r="AM26" s="117">
        <v>99.8</v>
      </c>
      <c r="AN26" s="119"/>
      <c r="AO26" s="117">
        <v>99.8</v>
      </c>
      <c r="AP26" s="119"/>
      <c r="AQ26" s="117">
        <v>99.8</v>
      </c>
      <c r="AR26" s="119"/>
      <c r="AS26" s="117">
        <v>99.8</v>
      </c>
      <c r="AT26" s="119"/>
      <c r="AU26" s="117">
        <v>99.8</v>
      </c>
      <c r="AV26" s="119"/>
      <c r="AW26" s="120">
        <v>111</v>
      </c>
      <c r="AX26" s="127" t="s">
        <v>81</v>
      </c>
      <c r="AY26" s="122">
        <v>99.8</v>
      </c>
      <c r="AZ26" s="123"/>
      <c r="BA26" s="55">
        <f t="shared" si="0"/>
        <v>11.200000000000003</v>
      </c>
      <c r="BB26" s="55"/>
    </row>
    <row r="27" spans="1:55" ht="15.75" thickBot="1" x14ac:dyDescent="0.3">
      <c r="A27" s="73"/>
      <c r="B27" s="74"/>
      <c r="C27" s="74"/>
      <c r="D27" s="75" t="s">
        <v>44</v>
      </c>
      <c r="E27" s="76"/>
      <c r="F27" s="77">
        <f>SUM(E23:E26)</f>
        <v>1061</v>
      </c>
      <c r="G27" s="78"/>
      <c r="H27" s="79">
        <f>SUM(G23:G26)</f>
        <v>1146.5999999999999</v>
      </c>
      <c r="I27" s="78"/>
      <c r="J27" s="79">
        <f>SUM(I23:I26)</f>
        <v>1146.5999999999999</v>
      </c>
      <c r="K27" s="78"/>
      <c r="L27" s="79">
        <f>SUM(K23:K26)</f>
        <v>1217.5999999999999</v>
      </c>
      <c r="M27" s="78"/>
      <c r="N27" s="79">
        <f>SUM(M23:M26)</f>
        <v>1217.5999999999999</v>
      </c>
      <c r="O27" s="78"/>
      <c r="P27" s="79">
        <v>3129</v>
      </c>
      <c r="Q27" s="78"/>
      <c r="R27" s="79">
        <f>SUM(Q23:Q26)</f>
        <v>1199.8</v>
      </c>
      <c r="S27" s="107">
        <f>R27-P27</f>
        <v>-1929.2</v>
      </c>
      <c r="T27" s="91"/>
      <c r="U27" s="78"/>
      <c r="V27" s="79">
        <f>SUM(U23:U26)</f>
        <v>1199.8</v>
      </c>
      <c r="W27" s="49"/>
      <c r="X27" s="66"/>
      <c r="Y27" s="78"/>
      <c r="Z27" s="79">
        <f>SUM(Y23:Y26)</f>
        <v>2599.8000000000002</v>
      </c>
      <c r="AA27" s="78"/>
      <c r="AB27" s="81">
        <f>SUM(AA23:AA26)</f>
        <v>2599.8000000000002</v>
      </c>
      <c r="AC27" s="78"/>
      <c r="AD27" s="81">
        <f>SUM(AC23:AC26)</f>
        <v>2599.8000000000002</v>
      </c>
      <c r="AE27" s="78"/>
      <c r="AF27" s="81">
        <f>SUM(AE23:AE26)</f>
        <v>2599.8000000000002</v>
      </c>
      <c r="AG27" s="78"/>
      <c r="AH27" s="81">
        <f>SUM(AG23:AG26)</f>
        <v>2599.8000000000002</v>
      </c>
      <c r="AI27" s="78"/>
      <c r="AJ27" s="81">
        <f>SUM(AI23:AI26)</f>
        <v>2599.8000000000002</v>
      </c>
      <c r="AK27" s="78"/>
      <c r="AL27" s="81">
        <f>SUM(AK23:AK26)</f>
        <v>2599.8000000000002</v>
      </c>
      <c r="AM27" s="78"/>
      <c r="AN27" s="81">
        <f>SUM(AM23:AM26)</f>
        <v>2599.8000000000002</v>
      </c>
      <c r="AO27" s="78"/>
      <c r="AP27" s="81">
        <f>SUM(AO23:AO26)</f>
        <v>2599.8000000000002</v>
      </c>
      <c r="AQ27" s="78"/>
      <c r="AR27" s="81">
        <f>SUM(AQ23:AQ26)</f>
        <v>2599.8000000000002</v>
      </c>
      <c r="AS27" s="78"/>
      <c r="AT27" s="81">
        <f>SUM(AS23:AS26)</f>
        <v>2599.8000000000002</v>
      </c>
      <c r="AU27" s="78"/>
      <c r="AV27" s="81">
        <f>SUM(AU23:AU26)</f>
        <v>2599.8000000000002</v>
      </c>
      <c r="AW27" s="82"/>
      <c r="AX27" s="83">
        <f>SUM(AW23:AW26)</f>
        <v>18678</v>
      </c>
      <c r="AY27" s="108"/>
      <c r="AZ27" s="109">
        <f>SUM(AY23:AY26)</f>
        <v>1199.8</v>
      </c>
      <c r="BA27" s="55"/>
      <c r="BB27" s="85">
        <f>AX27-AZ27</f>
        <v>17478.2</v>
      </c>
    </row>
    <row r="28" spans="1:55" ht="15.75" thickBot="1" x14ac:dyDescent="0.3">
      <c r="A28" s="40" t="s">
        <v>82</v>
      </c>
      <c r="B28" s="128" t="s">
        <v>83</v>
      </c>
      <c r="C28" s="128">
        <v>1</v>
      </c>
      <c r="D28" s="42" t="s">
        <v>84</v>
      </c>
      <c r="E28" s="124">
        <v>134</v>
      </c>
      <c r="F28" s="44"/>
      <c r="G28" s="89">
        <v>134</v>
      </c>
      <c r="H28" s="46"/>
      <c r="I28" s="89">
        <v>134</v>
      </c>
      <c r="J28" s="46"/>
      <c r="K28" s="89">
        <v>134</v>
      </c>
      <c r="L28" s="46"/>
      <c r="M28" s="89">
        <v>134</v>
      </c>
      <c r="N28" s="46"/>
      <c r="O28" s="89">
        <v>134</v>
      </c>
      <c r="P28" s="46"/>
      <c r="Q28" s="89">
        <v>134</v>
      </c>
      <c r="R28" s="46"/>
      <c r="S28" s="47"/>
      <c r="T28" s="91"/>
      <c r="U28" s="89">
        <v>134</v>
      </c>
      <c r="V28" s="46"/>
      <c r="W28" s="49">
        <f>U28-Q28</f>
        <v>0</v>
      </c>
      <c r="X28" s="66"/>
      <c r="Y28" s="89">
        <v>134</v>
      </c>
      <c r="Z28" s="46"/>
      <c r="AA28" s="89">
        <v>134</v>
      </c>
      <c r="AB28" s="49"/>
      <c r="AC28" s="89">
        <v>134</v>
      </c>
      <c r="AD28" s="49"/>
      <c r="AE28" s="89">
        <v>134</v>
      </c>
      <c r="AF28" s="49"/>
      <c r="AG28" s="89">
        <v>134</v>
      </c>
      <c r="AH28" s="49"/>
      <c r="AI28" s="89">
        <v>134</v>
      </c>
      <c r="AJ28" s="49"/>
      <c r="AK28" s="89">
        <v>134</v>
      </c>
      <c r="AL28" s="49"/>
      <c r="AM28" s="89">
        <v>134</v>
      </c>
      <c r="AN28" s="49"/>
      <c r="AO28" s="89">
        <v>134</v>
      </c>
      <c r="AP28" s="49"/>
      <c r="AQ28" s="89">
        <v>134</v>
      </c>
      <c r="AR28" s="49"/>
      <c r="AS28" s="89">
        <v>134</v>
      </c>
      <c r="AT28" s="49"/>
      <c r="AU28" s="89">
        <v>134</v>
      </c>
      <c r="AV28" s="49"/>
      <c r="AW28" s="92">
        <v>134</v>
      </c>
      <c r="AX28" s="52"/>
      <c r="AY28" s="93">
        <v>134</v>
      </c>
      <c r="AZ28" s="94"/>
      <c r="BA28" s="55">
        <f t="shared" si="0"/>
        <v>0</v>
      </c>
      <c r="BB28" s="55"/>
    </row>
    <row r="29" spans="1:55" ht="15.75" thickBot="1" x14ac:dyDescent="0.3">
      <c r="A29" s="86"/>
      <c r="B29" s="129"/>
      <c r="C29" s="129">
        <v>2</v>
      </c>
      <c r="D29" s="88" t="s">
        <v>85</v>
      </c>
      <c r="E29" s="61">
        <v>350</v>
      </c>
      <c r="F29" s="62"/>
      <c r="G29" s="63">
        <v>350</v>
      </c>
      <c r="H29" s="64"/>
      <c r="I29" s="63">
        <v>350</v>
      </c>
      <c r="J29" s="64"/>
      <c r="K29" s="63">
        <v>350</v>
      </c>
      <c r="L29" s="64"/>
      <c r="M29" s="63">
        <v>350</v>
      </c>
      <c r="N29" s="64"/>
      <c r="O29" s="63">
        <v>350</v>
      </c>
      <c r="P29" s="64"/>
      <c r="Q29" s="63">
        <v>350</v>
      </c>
      <c r="R29" s="64"/>
      <c r="S29" s="130"/>
      <c r="T29" s="91"/>
      <c r="U29" s="63">
        <v>350</v>
      </c>
      <c r="V29" s="64"/>
      <c r="W29" s="49">
        <f>U29-Q29</f>
        <v>0</v>
      </c>
      <c r="X29" s="66"/>
      <c r="Y29" s="63">
        <v>350</v>
      </c>
      <c r="Z29" s="64"/>
      <c r="AA29" s="63">
        <v>350</v>
      </c>
      <c r="AB29" s="67"/>
      <c r="AC29" s="63">
        <v>350</v>
      </c>
      <c r="AD29" s="67"/>
      <c r="AE29" s="63">
        <v>350</v>
      </c>
      <c r="AF29" s="67"/>
      <c r="AG29" s="63">
        <v>350</v>
      </c>
      <c r="AH29" s="67"/>
      <c r="AI29" s="63">
        <v>350</v>
      </c>
      <c r="AJ29" s="67"/>
      <c r="AK29" s="63">
        <v>350</v>
      </c>
      <c r="AL29" s="67"/>
      <c r="AM29" s="63">
        <v>350</v>
      </c>
      <c r="AN29" s="67"/>
      <c r="AO29" s="63">
        <v>350</v>
      </c>
      <c r="AP29" s="67"/>
      <c r="AQ29" s="63">
        <v>350</v>
      </c>
      <c r="AR29" s="67"/>
      <c r="AS29" s="63">
        <v>350</v>
      </c>
      <c r="AT29" s="67"/>
      <c r="AU29" s="63">
        <v>350</v>
      </c>
      <c r="AV29" s="67"/>
      <c r="AW29" s="68">
        <v>376</v>
      </c>
      <c r="AX29" s="69"/>
      <c r="AY29" s="110">
        <v>350</v>
      </c>
      <c r="AZ29" s="111"/>
      <c r="BA29" s="55">
        <f t="shared" si="0"/>
        <v>26</v>
      </c>
      <c r="BB29" s="55"/>
    </row>
    <row r="30" spans="1:55" ht="15.75" thickBot="1" x14ac:dyDescent="0.3">
      <c r="A30" s="112"/>
      <c r="B30" s="131"/>
      <c r="C30" s="131">
        <v>3</v>
      </c>
      <c r="D30" s="114" t="s">
        <v>86</v>
      </c>
      <c r="E30" s="115">
        <f>3040*1.21</f>
        <v>3678.4</v>
      </c>
      <c r="F30" s="116"/>
      <c r="G30" s="117">
        <f>3040*1.21</f>
        <v>3678.4</v>
      </c>
      <c r="H30" s="118"/>
      <c r="I30" s="117">
        <f>3040*1.21</f>
        <v>3678.4</v>
      </c>
      <c r="J30" s="118"/>
      <c r="K30" s="117">
        <f>3040*1.21</f>
        <v>3678.4</v>
      </c>
      <c r="L30" s="118"/>
      <c r="M30" s="117">
        <f>3040*1.21</f>
        <v>3678.4</v>
      </c>
      <c r="N30" s="118"/>
      <c r="O30" s="117">
        <f>3040*1.21</f>
        <v>3678.4</v>
      </c>
      <c r="P30" s="118"/>
      <c r="Q30" s="117">
        <v>3751.8</v>
      </c>
      <c r="R30" s="118"/>
      <c r="S30" s="130"/>
      <c r="T30" s="126"/>
      <c r="U30" s="117">
        <v>3751.8</v>
      </c>
      <c r="V30" s="118"/>
      <c r="W30" s="49">
        <f>U30-Q30</f>
        <v>0</v>
      </c>
      <c r="X30" s="66"/>
      <c r="Y30" s="117">
        <v>3751.8</v>
      </c>
      <c r="Z30" s="118"/>
      <c r="AA30" s="117">
        <v>3751.8</v>
      </c>
      <c r="AB30" s="119"/>
      <c r="AC30" s="117">
        <v>3751.8</v>
      </c>
      <c r="AD30" s="119"/>
      <c r="AE30" s="117">
        <v>3751.8</v>
      </c>
      <c r="AF30" s="119"/>
      <c r="AG30" s="117">
        <v>3751.8</v>
      </c>
      <c r="AH30" s="119"/>
      <c r="AI30" s="117">
        <v>3751.8</v>
      </c>
      <c r="AJ30" s="119"/>
      <c r="AK30" s="117">
        <v>3751.8</v>
      </c>
      <c r="AL30" s="119"/>
      <c r="AM30" s="117">
        <v>3751.8</v>
      </c>
      <c r="AN30" s="119"/>
      <c r="AO30" s="117">
        <v>3751.8</v>
      </c>
      <c r="AP30" s="119"/>
      <c r="AQ30" s="117">
        <v>3751.8</v>
      </c>
      <c r="AR30" s="119"/>
      <c r="AS30" s="117">
        <v>3751.8</v>
      </c>
      <c r="AT30" s="119"/>
      <c r="AU30" s="117">
        <v>3751.8</v>
      </c>
      <c r="AV30" s="119"/>
      <c r="AW30" s="120">
        <v>3971.52</v>
      </c>
      <c r="AX30" s="121"/>
      <c r="AY30" s="122">
        <v>3751.8</v>
      </c>
      <c r="AZ30" s="123"/>
      <c r="BA30" s="55">
        <f t="shared" si="0"/>
        <v>219.7199999999998</v>
      </c>
      <c r="BB30" s="55"/>
    </row>
    <row r="31" spans="1:55" ht="15.75" thickBot="1" x14ac:dyDescent="0.3">
      <c r="A31" s="73"/>
      <c r="B31" s="132"/>
      <c r="C31" s="132"/>
      <c r="D31" s="75" t="s">
        <v>44</v>
      </c>
      <c r="E31" s="76"/>
      <c r="F31" s="77">
        <f>SUM(E28:E30)</f>
        <v>4162.3999999999996</v>
      </c>
      <c r="G31" s="78"/>
      <c r="H31" s="79">
        <f>SUM(G28:G30)</f>
        <v>4162.3999999999996</v>
      </c>
      <c r="I31" s="78"/>
      <c r="J31" s="79">
        <f>SUM(I28:I30)</f>
        <v>4162.3999999999996</v>
      </c>
      <c r="K31" s="78"/>
      <c r="L31" s="79">
        <f>SUM(K28:K30)</f>
        <v>4162.3999999999996</v>
      </c>
      <c r="M31" s="78"/>
      <c r="N31" s="79">
        <f>SUM(M28:M30)</f>
        <v>4162.3999999999996</v>
      </c>
      <c r="O31" s="78"/>
      <c r="P31" s="79">
        <f>SUM(O28:O30)</f>
        <v>4162.3999999999996</v>
      </c>
      <c r="Q31" s="78"/>
      <c r="R31" s="79">
        <f>SUM(Q28:Q30)</f>
        <v>4235.8</v>
      </c>
      <c r="S31" s="107">
        <f>R31-P31</f>
        <v>73.400000000000546</v>
      </c>
      <c r="T31" s="91"/>
      <c r="U31" s="78"/>
      <c r="V31" s="79">
        <f>SUM(U28:U30)</f>
        <v>4235.8</v>
      </c>
      <c r="W31" s="49"/>
      <c r="X31" s="66"/>
      <c r="Y31" s="78"/>
      <c r="Z31" s="79">
        <f>SUM(Y28:Y30)</f>
        <v>4235.8</v>
      </c>
      <c r="AA31" s="78"/>
      <c r="AB31" s="81">
        <f>SUM(AA28:AA30)</f>
        <v>4235.8</v>
      </c>
      <c r="AC31" s="78"/>
      <c r="AD31" s="81">
        <f>SUM(AC28:AC30)</f>
        <v>4235.8</v>
      </c>
      <c r="AE31" s="78"/>
      <c r="AF31" s="81">
        <f>SUM(AE28:AE30)</f>
        <v>4235.8</v>
      </c>
      <c r="AG31" s="78"/>
      <c r="AH31" s="81">
        <f>SUM(AG28:AG30)</f>
        <v>4235.8</v>
      </c>
      <c r="AI31" s="78"/>
      <c r="AJ31" s="81">
        <f>SUM(AI28:AI30)</f>
        <v>4235.8</v>
      </c>
      <c r="AK31" s="78"/>
      <c r="AL31" s="81">
        <f>SUM(AK28:AK30)</f>
        <v>4235.8</v>
      </c>
      <c r="AM31" s="78"/>
      <c r="AN31" s="81">
        <f>SUM(AM28:AM30)</f>
        <v>4235.8</v>
      </c>
      <c r="AO31" s="78"/>
      <c r="AP31" s="81">
        <f>SUM(AO28:AO30)</f>
        <v>4235.8</v>
      </c>
      <c r="AQ31" s="78"/>
      <c r="AR31" s="81">
        <f>SUM(AQ28:AQ30)</f>
        <v>4235.8</v>
      </c>
      <c r="AS31" s="78"/>
      <c r="AT31" s="81">
        <f>SUM(AS28:AS30)</f>
        <v>4235.8</v>
      </c>
      <c r="AU31" s="78"/>
      <c r="AV31" s="81">
        <f>SUM(AU28:AU30)</f>
        <v>4235.8</v>
      </c>
      <c r="AW31" s="82"/>
      <c r="AX31" s="83">
        <f>SUM(AW28:AW30)</f>
        <v>4481.5200000000004</v>
      </c>
      <c r="AY31" s="108"/>
      <c r="AZ31" s="109">
        <f>SUM(AY28:AY30)</f>
        <v>4235.8</v>
      </c>
      <c r="BA31" s="55"/>
      <c r="BB31" s="85">
        <f>AX31-AZ31</f>
        <v>245.72000000000025</v>
      </c>
    </row>
    <row r="32" spans="1:55" ht="15.75" thickBot="1" x14ac:dyDescent="0.3">
      <c r="A32" s="133" t="s">
        <v>87</v>
      </c>
      <c r="B32" s="134" t="s">
        <v>88</v>
      </c>
      <c r="C32" s="134"/>
      <c r="D32" s="134"/>
      <c r="E32" s="135">
        <v>1800</v>
      </c>
      <c r="F32" s="136">
        <f>SUM(E32)</f>
        <v>1800</v>
      </c>
      <c r="G32" s="137">
        <v>1800</v>
      </c>
      <c r="H32" s="138">
        <f>SUM(G32)</f>
        <v>1800</v>
      </c>
      <c r="I32" s="137">
        <v>1800</v>
      </c>
      <c r="J32" s="138">
        <f>SUM(I32)</f>
        <v>1800</v>
      </c>
      <c r="K32" s="137">
        <v>1800</v>
      </c>
      <c r="L32" s="138">
        <f>SUM(K32)</f>
        <v>1800</v>
      </c>
      <c r="M32" s="137">
        <v>1800</v>
      </c>
      <c r="N32" s="138">
        <f>SUM(M32)</f>
        <v>1800</v>
      </c>
      <c r="O32" s="137">
        <f>1800+800</f>
        <v>2600</v>
      </c>
      <c r="P32" s="138">
        <f>SUM(O32)</f>
        <v>2600</v>
      </c>
      <c r="Q32" s="137">
        <v>1500</v>
      </c>
      <c r="R32" s="138">
        <f>SUM(Q32)</f>
        <v>1500</v>
      </c>
      <c r="S32" s="139">
        <f>R32-P32</f>
        <v>-1100</v>
      </c>
      <c r="T32" s="126" t="s">
        <v>89</v>
      </c>
      <c r="U32" s="137">
        <v>1500</v>
      </c>
      <c r="V32" s="138">
        <f>SUM(U32)</f>
        <v>1500</v>
      </c>
      <c r="W32" s="49">
        <f t="shared" ref="W32:W38" si="3">U32-Q32</f>
        <v>0</v>
      </c>
      <c r="X32" s="66"/>
      <c r="Y32" s="137">
        <v>1500</v>
      </c>
      <c r="Z32" s="138">
        <f>SUM(Y32)</f>
        <v>1500</v>
      </c>
      <c r="AA32" s="137">
        <v>1500</v>
      </c>
      <c r="AB32" s="140">
        <f>SUM(AA32)</f>
        <v>1500</v>
      </c>
      <c r="AC32" s="137">
        <v>1500</v>
      </c>
      <c r="AD32" s="140">
        <f>SUM(AC32)</f>
        <v>1500</v>
      </c>
      <c r="AE32" s="137">
        <v>1500</v>
      </c>
      <c r="AF32" s="140">
        <f>SUM(AE32)</f>
        <v>1500</v>
      </c>
      <c r="AG32" s="137">
        <v>1500</v>
      </c>
      <c r="AH32" s="140">
        <f>SUM(AG32)</f>
        <v>1500</v>
      </c>
      <c r="AI32" s="137">
        <v>1500</v>
      </c>
      <c r="AJ32" s="140">
        <f>SUM(AI32)</f>
        <v>1500</v>
      </c>
      <c r="AK32" s="137">
        <v>1500</v>
      </c>
      <c r="AL32" s="140">
        <f>SUM(AK32)</f>
        <v>1500</v>
      </c>
      <c r="AM32" s="137">
        <v>1500</v>
      </c>
      <c r="AN32" s="140">
        <f>SUM(AM32)</f>
        <v>1500</v>
      </c>
      <c r="AO32" s="137">
        <v>1500</v>
      </c>
      <c r="AP32" s="140">
        <f>SUM(AO32)</f>
        <v>1500</v>
      </c>
      <c r="AQ32" s="137">
        <v>1500</v>
      </c>
      <c r="AR32" s="140">
        <f>SUM(AQ32)</f>
        <v>1500</v>
      </c>
      <c r="AS32" s="137">
        <v>1500</v>
      </c>
      <c r="AT32" s="140">
        <f>SUM(AS32)</f>
        <v>1500</v>
      </c>
      <c r="AU32" s="137">
        <v>1500</v>
      </c>
      <c r="AV32" s="140">
        <f>SUM(AU32)</f>
        <v>1500</v>
      </c>
      <c r="AW32" s="141">
        <v>1500</v>
      </c>
      <c r="AX32" s="142">
        <v>1500</v>
      </c>
      <c r="AY32" s="143">
        <v>1500</v>
      </c>
      <c r="AZ32" s="144">
        <f>SUM(AY32)</f>
        <v>1500</v>
      </c>
      <c r="BA32" s="55">
        <f t="shared" si="0"/>
        <v>0</v>
      </c>
      <c r="BB32" s="55">
        <f>AX32-AZ32</f>
        <v>0</v>
      </c>
    </row>
    <row r="33" spans="1:55" ht="15.75" thickBot="1" x14ac:dyDescent="0.3">
      <c r="A33" s="133" t="s">
        <v>90</v>
      </c>
      <c r="B33" s="134" t="s">
        <v>91</v>
      </c>
      <c r="C33" s="134"/>
      <c r="D33" s="134"/>
      <c r="E33" s="135">
        <v>1000</v>
      </c>
      <c r="F33" s="136">
        <f>SUM(E33)</f>
        <v>1000</v>
      </c>
      <c r="G33" s="137">
        <v>1000</v>
      </c>
      <c r="H33" s="138">
        <f>SUM(G33)</f>
        <v>1000</v>
      </c>
      <c r="I33" s="137">
        <v>1000</v>
      </c>
      <c r="J33" s="138">
        <f>SUM(I33)</f>
        <v>1000</v>
      </c>
      <c r="K33" s="137">
        <v>1000</v>
      </c>
      <c r="L33" s="138">
        <f>SUM(K33)</f>
        <v>1000</v>
      </c>
      <c r="M33" s="137">
        <v>1000</v>
      </c>
      <c r="N33" s="138">
        <f>SUM(M33)</f>
        <v>1000</v>
      </c>
      <c r="O33" s="137">
        <v>1000</v>
      </c>
      <c r="P33" s="138">
        <f>SUM(O33)</f>
        <v>1000</v>
      </c>
      <c r="Q33" s="137">
        <v>500</v>
      </c>
      <c r="R33" s="138">
        <f>SUM(Q33)</f>
        <v>500</v>
      </c>
      <c r="S33" s="139">
        <f>R33-P33</f>
        <v>-500</v>
      </c>
      <c r="T33" s="126"/>
      <c r="U33" s="137">
        <v>500</v>
      </c>
      <c r="V33" s="138">
        <f>SUM(U33)</f>
        <v>500</v>
      </c>
      <c r="W33" s="49">
        <f t="shared" si="3"/>
        <v>0</v>
      </c>
      <c r="X33" s="66"/>
      <c r="Y33" s="137">
        <v>500</v>
      </c>
      <c r="Z33" s="138">
        <f>SUM(Y33)</f>
        <v>500</v>
      </c>
      <c r="AA33" s="137">
        <v>500</v>
      </c>
      <c r="AB33" s="140">
        <f>SUM(AA33)</f>
        <v>500</v>
      </c>
      <c r="AC33" s="137">
        <v>500</v>
      </c>
      <c r="AD33" s="140">
        <f>SUM(AC33)</f>
        <v>500</v>
      </c>
      <c r="AE33" s="137">
        <v>500</v>
      </c>
      <c r="AF33" s="140">
        <f>SUM(AE33)</f>
        <v>500</v>
      </c>
      <c r="AG33" s="137">
        <v>500</v>
      </c>
      <c r="AH33" s="140">
        <f>SUM(AG33)</f>
        <v>500</v>
      </c>
      <c r="AI33" s="137">
        <v>500</v>
      </c>
      <c r="AJ33" s="140">
        <f>SUM(AI33)</f>
        <v>500</v>
      </c>
      <c r="AK33" s="137">
        <v>500</v>
      </c>
      <c r="AL33" s="140">
        <f>SUM(AK33)</f>
        <v>500</v>
      </c>
      <c r="AM33" s="137">
        <v>500</v>
      </c>
      <c r="AN33" s="140">
        <f>SUM(AM33)</f>
        <v>500</v>
      </c>
      <c r="AO33" s="137">
        <v>500</v>
      </c>
      <c r="AP33" s="140">
        <f>SUM(AO33)</f>
        <v>500</v>
      </c>
      <c r="AQ33" s="137">
        <v>500</v>
      </c>
      <c r="AR33" s="140">
        <f>SUM(AQ33)</f>
        <v>500</v>
      </c>
      <c r="AS33" s="137">
        <v>500</v>
      </c>
      <c r="AT33" s="140">
        <f>SUM(AS33)</f>
        <v>500</v>
      </c>
      <c r="AU33" s="137">
        <v>500</v>
      </c>
      <c r="AV33" s="140">
        <f>SUM(AU33)</f>
        <v>500</v>
      </c>
      <c r="AW33" s="141">
        <v>1000</v>
      </c>
      <c r="AX33" s="142">
        <v>1000</v>
      </c>
      <c r="AY33" s="143">
        <v>500</v>
      </c>
      <c r="AZ33" s="144">
        <f>SUM(AY33)</f>
        <v>500</v>
      </c>
      <c r="BA33" s="55">
        <f t="shared" si="0"/>
        <v>500</v>
      </c>
      <c r="BB33" s="85">
        <f>AX33-AZ33</f>
        <v>500</v>
      </c>
    </row>
    <row r="34" spans="1:55" ht="15.75" thickBot="1" x14ac:dyDescent="0.3">
      <c r="A34" s="86" t="s">
        <v>92</v>
      </c>
      <c r="B34" s="129" t="s">
        <v>93</v>
      </c>
      <c r="C34" s="129">
        <v>1</v>
      </c>
      <c r="D34" s="88" t="s">
        <v>94</v>
      </c>
      <c r="E34" s="61">
        <v>850</v>
      </c>
      <c r="F34" s="62"/>
      <c r="G34" s="63">
        <v>850</v>
      </c>
      <c r="H34" s="64"/>
      <c r="I34" s="63">
        <v>850</v>
      </c>
      <c r="J34" s="64"/>
      <c r="K34" s="63">
        <v>850</v>
      </c>
      <c r="L34" s="64"/>
      <c r="M34" s="63">
        <v>850</v>
      </c>
      <c r="N34" s="64"/>
      <c r="O34" s="63">
        <v>850</v>
      </c>
      <c r="P34" s="64"/>
      <c r="Q34" s="63">
        <v>850</v>
      </c>
      <c r="R34" s="64"/>
      <c r="S34" s="130"/>
      <c r="T34" s="91"/>
      <c r="U34" s="63">
        <v>850</v>
      </c>
      <c r="V34" s="64"/>
      <c r="W34" s="49">
        <f t="shared" si="3"/>
        <v>0</v>
      </c>
      <c r="X34" s="66"/>
      <c r="Y34" s="63">
        <v>850</v>
      </c>
      <c r="Z34" s="64"/>
      <c r="AA34" s="63">
        <v>850</v>
      </c>
      <c r="AB34" s="67"/>
      <c r="AC34" s="63">
        <v>850</v>
      </c>
      <c r="AD34" s="67"/>
      <c r="AE34" s="63">
        <v>850</v>
      </c>
      <c r="AF34" s="67"/>
      <c r="AG34" s="63">
        <v>850</v>
      </c>
      <c r="AH34" s="67"/>
      <c r="AI34" s="63">
        <v>850</v>
      </c>
      <c r="AJ34" s="67"/>
      <c r="AK34" s="63">
        <v>850</v>
      </c>
      <c r="AL34" s="67"/>
      <c r="AM34" s="63">
        <v>850</v>
      </c>
      <c r="AN34" s="67"/>
      <c r="AO34" s="63">
        <v>850</v>
      </c>
      <c r="AP34" s="67"/>
      <c r="AQ34" s="63">
        <v>850</v>
      </c>
      <c r="AR34" s="67"/>
      <c r="AS34" s="63">
        <v>850</v>
      </c>
      <c r="AT34" s="67"/>
      <c r="AU34" s="63">
        <v>850</v>
      </c>
      <c r="AV34" s="67"/>
      <c r="AW34" s="68">
        <v>790</v>
      </c>
      <c r="AX34" s="69"/>
      <c r="AY34" s="110">
        <v>850</v>
      </c>
      <c r="AZ34" s="111"/>
      <c r="BA34" s="71">
        <f t="shared" si="0"/>
        <v>-60</v>
      </c>
      <c r="BB34" s="55"/>
      <c r="BC34" s="106" t="s">
        <v>95</v>
      </c>
    </row>
    <row r="35" spans="1:55" ht="15.75" thickBot="1" x14ac:dyDescent="0.3">
      <c r="A35" s="86"/>
      <c r="B35" s="129"/>
      <c r="C35" s="129">
        <f>+C34+1</f>
        <v>2</v>
      </c>
      <c r="D35" s="88" t="s">
        <v>96</v>
      </c>
      <c r="E35" s="61">
        <v>950</v>
      </c>
      <c r="F35" s="62"/>
      <c r="G35" s="63">
        <f>950-30</f>
        <v>920</v>
      </c>
      <c r="H35" s="64"/>
      <c r="I35" s="63">
        <f>950-30</f>
        <v>920</v>
      </c>
      <c r="J35" s="64"/>
      <c r="K35" s="63">
        <f>950-30</f>
        <v>920</v>
      </c>
      <c r="L35" s="64"/>
      <c r="M35" s="63">
        <f>950-30</f>
        <v>920</v>
      </c>
      <c r="N35" s="64"/>
      <c r="O35" s="63">
        <f>950-30</f>
        <v>920</v>
      </c>
      <c r="P35" s="64"/>
      <c r="Q35" s="63">
        <f>950-30</f>
        <v>920</v>
      </c>
      <c r="R35" s="64"/>
      <c r="S35" s="130"/>
      <c r="T35" s="91"/>
      <c r="U35" s="63">
        <f>950-30</f>
        <v>920</v>
      </c>
      <c r="V35" s="64"/>
      <c r="W35" s="49">
        <f t="shared" si="3"/>
        <v>0</v>
      </c>
      <c r="X35" s="66"/>
      <c r="Y35" s="63">
        <f>950-30</f>
        <v>920</v>
      </c>
      <c r="Z35" s="64"/>
      <c r="AA35" s="63">
        <f>950-30</f>
        <v>920</v>
      </c>
      <c r="AB35" s="67"/>
      <c r="AC35" s="63">
        <f>950-30</f>
        <v>920</v>
      </c>
      <c r="AD35" s="67"/>
      <c r="AE35" s="63">
        <f>950-30</f>
        <v>920</v>
      </c>
      <c r="AF35" s="67"/>
      <c r="AG35" s="63">
        <f>950-30</f>
        <v>920</v>
      </c>
      <c r="AH35" s="67"/>
      <c r="AI35" s="63">
        <f>950-30</f>
        <v>920</v>
      </c>
      <c r="AJ35" s="67"/>
      <c r="AK35" s="63">
        <f>950-30</f>
        <v>920</v>
      </c>
      <c r="AL35" s="67"/>
      <c r="AM35" s="63">
        <f>950-30</f>
        <v>920</v>
      </c>
      <c r="AN35" s="67"/>
      <c r="AO35" s="63">
        <f>950-30</f>
        <v>920</v>
      </c>
      <c r="AP35" s="67"/>
      <c r="AQ35" s="63">
        <f>950-30</f>
        <v>920</v>
      </c>
      <c r="AR35" s="67"/>
      <c r="AS35" s="63">
        <f>950-30</f>
        <v>920</v>
      </c>
      <c r="AT35" s="67"/>
      <c r="AU35" s="63">
        <f>950-30</f>
        <v>920</v>
      </c>
      <c r="AV35" s="67"/>
      <c r="AW35" s="68">
        <v>920</v>
      </c>
      <c r="AX35" s="69"/>
      <c r="AY35" s="110">
        <f>950-30</f>
        <v>920</v>
      </c>
      <c r="AZ35" s="111"/>
      <c r="BA35" s="55">
        <f t="shared" si="0"/>
        <v>0</v>
      </c>
      <c r="BB35" s="55"/>
    </row>
    <row r="36" spans="1:55" ht="15.75" thickBot="1" x14ac:dyDescent="0.3">
      <c r="A36" s="86"/>
      <c r="B36" s="129"/>
      <c r="C36" s="129">
        <f>+C35+1</f>
        <v>3</v>
      </c>
      <c r="D36" s="88" t="s">
        <v>97</v>
      </c>
      <c r="E36" s="61">
        <v>440</v>
      </c>
      <c r="F36" s="62"/>
      <c r="G36" s="63">
        <v>440</v>
      </c>
      <c r="H36" s="64"/>
      <c r="I36" s="63">
        <v>440</v>
      </c>
      <c r="J36" s="64"/>
      <c r="K36" s="63">
        <v>440</v>
      </c>
      <c r="L36" s="64"/>
      <c r="M36" s="63">
        <v>440</v>
      </c>
      <c r="N36" s="64"/>
      <c r="O36" s="63">
        <v>440</v>
      </c>
      <c r="P36" s="64"/>
      <c r="Q36" s="63">
        <v>440</v>
      </c>
      <c r="R36" s="64"/>
      <c r="S36" s="130"/>
      <c r="T36" s="91"/>
      <c r="U36" s="63">
        <v>440</v>
      </c>
      <c r="V36" s="64"/>
      <c r="W36" s="49">
        <f t="shared" si="3"/>
        <v>0</v>
      </c>
      <c r="X36" s="66"/>
      <c r="Y36" s="63">
        <v>440</v>
      </c>
      <c r="Z36" s="64"/>
      <c r="AA36" s="63">
        <v>440</v>
      </c>
      <c r="AB36" s="67"/>
      <c r="AC36" s="63">
        <v>440</v>
      </c>
      <c r="AD36" s="67"/>
      <c r="AE36" s="63">
        <v>440</v>
      </c>
      <c r="AF36" s="67"/>
      <c r="AG36" s="63">
        <v>440</v>
      </c>
      <c r="AH36" s="67"/>
      <c r="AI36" s="63">
        <v>440</v>
      </c>
      <c r="AJ36" s="67"/>
      <c r="AK36" s="63">
        <v>440</v>
      </c>
      <c r="AL36" s="67"/>
      <c r="AM36" s="63">
        <v>440</v>
      </c>
      <c r="AN36" s="67"/>
      <c r="AO36" s="63">
        <v>440</v>
      </c>
      <c r="AP36" s="67"/>
      <c r="AQ36" s="63">
        <v>440</v>
      </c>
      <c r="AR36" s="67"/>
      <c r="AS36" s="63">
        <v>440</v>
      </c>
      <c r="AT36" s="67"/>
      <c r="AU36" s="63">
        <v>440</v>
      </c>
      <c r="AV36" s="67"/>
      <c r="AW36" s="68">
        <v>430</v>
      </c>
      <c r="AX36" s="69"/>
      <c r="AY36" s="110">
        <v>440</v>
      </c>
      <c r="AZ36" s="111"/>
      <c r="BA36" s="71">
        <f t="shared" si="0"/>
        <v>-10</v>
      </c>
      <c r="BB36" s="55"/>
      <c r="BC36" s="106" t="s">
        <v>67</v>
      </c>
    </row>
    <row r="37" spans="1:55" ht="15.75" thickBot="1" x14ac:dyDescent="0.3">
      <c r="A37" s="86"/>
      <c r="B37" s="129"/>
      <c r="C37" s="129">
        <f>+C36+1</f>
        <v>4</v>
      </c>
      <c r="D37" s="88" t="s">
        <v>98</v>
      </c>
      <c r="E37" s="61">
        <v>350</v>
      </c>
      <c r="F37" s="62"/>
      <c r="G37" s="63">
        <v>350</v>
      </c>
      <c r="H37" s="64"/>
      <c r="I37" s="63">
        <v>350</v>
      </c>
      <c r="J37" s="64"/>
      <c r="K37" s="63">
        <v>350</v>
      </c>
      <c r="L37" s="64"/>
      <c r="M37" s="63">
        <v>350</v>
      </c>
      <c r="N37" s="64"/>
      <c r="O37" s="63">
        <v>350</v>
      </c>
      <c r="P37" s="64"/>
      <c r="Q37" s="63">
        <v>250</v>
      </c>
      <c r="R37" s="64"/>
      <c r="S37" s="130"/>
      <c r="T37" s="91" t="s">
        <v>99</v>
      </c>
      <c r="U37" s="63">
        <v>250</v>
      </c>
      <c r="V37" s="64"/>
      <c r="W37" s="49">
        <f t="shared" si="3"/>
        <v>0</v>
      </c>
      <c r="X37" s="66"/>
      <c r="Y37" s="63">
        <v>250</v>
      </c>
      <c r="Z37" s="64"/>
      <c r="AA37" s="63">
        <v>250</v>
      </c>
      <c r="AB37" s="67"/>
      <c r="AC37" s="63">
        <v>250</v>
      </c>
      <c r="AD37" s="67"/>
      <c r="AE37" s="63">
        <v>250</v>
      </c>
      <c r="AF37" s="67"/>
      <c r="AG37" s="63">
        <v>250</v>
      </c>
      <c r="AH37" s="67"/>
      <c r="AI37" s="63">
        <v>250</v>
      </c>
      <c r="AJ37" s="67"/>
      <c r="AK37" s="63">
        <v>250</v>
      </c>
      <c r="AL37" s="67"/>
      <c r="AM37" s="63">
        <v>250</v>
      </c>
      <c r="AN37" s="67"/>
      <c r="AO37" s="63">
        <v>250</v>
      </c>
      <c r="AP37" s="67"/>
      <c r="AQ37" s="63">
        <v>250</v>
      </c>
      <c r="AR37" s="67"/>
      <c r="AS37" s="63">
        <v>250</v>
      </c>
      <c r="AT37" s="67"/>
      <c r="AU37" s="63">
        <v>250</v>
      </c>
      <c r="AV37" s="67"/>
      <c r="AW37" s="68">
        <v>257</v>
      </c>
      <c r="AX37" s="69"/>
      <c r="AY37" s="110">
        <v>250</v>
      </c>
      <c r="AZ37" s="111"/>
      <c r="BA37" s="55">
        <f t="shared" si="0"/>
        <v>7</v>
      </c>
      <c r="BB37" s="55"/>
    </row>
    <row r="38" spans="1:55" ht="15.75" thickBot="1" x14ac:dyDescent="0.3">
      <c r="A38" s="86"/>
      <c r="B38" s="129"/>
      <c r="C38" s="129">
        <f>+C37+1</f>
        <v>5</v>
      </c>
      <c r="D38" s="96" t="s">
        <v>100</v>
      </c>
      <c r="E38" s="97">
        <v>900.6</v>
      </c>
      <c r="F38" s="62"/>
      <c r="G38" s="99">
        <v>900.6</v>
      </c>
      <c r="H38" s="64"/>
      <c r="I38" s="99">
        <f>900.6+13.5</f>
        <v>914.1</v>
      </c>
      <c r="J38" s="64"/>
      <c r="K38" s="99">
        <f>900.6+13.5</f>
        <v>914.1</v>
      </c>
      <c r="L38" s="64"/>
      <c r="M38" s="99">
        <f>900.6+13.5+6</f>
        <v>920.1</v>
      </c>
      <c r="N38" s="64"/>
      <c r="O38" s="99">
        <f>900.6+13.5+6+10</f>
        <v>930.1</v>
      </c>
      <c r="P38" s="64"/>
      <c r="Q38" s="99">
        <v>932</v>
      </c>
      <c r="R38" s="64"/>
      <c r="S38" s="130"/>
      <c r="T38" s="91"/>
      <c r="U38" s="99">
        <v>932</v>
      </c>
      <c r="V38" s="64"/>
      <c r="W38" s="49">
        <f t="shared" si="3"/>
        <v>0</v>
      </c>
      <c r="X38" s="66"/>
      <c r="Y38" s="99">
        <v>932</v>
      </c>
      <c r="Z38" s="64"/>
      <c r="AA38" s="99">
        <v>932</v>
      </c>
      <c r="AB38" s="67"/>
      <c r="AC38" s="99">
        <v>932</v>
      </c>
      <c r="AD38" s="67"/>
      <c r="AE38" s="99">
        <f>932+1.483</f>
        <v>933.48299999999995</v>
      </c>
      <c r="AF38" s="67"/>
      <c r="AG38" s="99">
        <f>932+1.483</f>
        <v>933.48299999999995</v>
      </c>
      <c r="AH38" s="67"/>
      <c r="AI38" s="99">
        <f>932+1.483</f>
        <v>933.48299999999995</v>
      </c>
      <c r="AJ38" s="67"/>
      <c r="AK38" s="99">
        <f>932+1.483</f>
        <v>933.48299999999995</v>
      </c>
      <c r="AL38" s="67"/>
      <c r="AM38" s="99">
        <f>932+1.483+5</f>
        <v>938.48299999999995</v>
      </c>
      <c r="AN38" s="67"/>
      <c r="AO38" s="99">
        <f>932+1.483+5</f>
        <v>938.48299999999995</v>
      </c>
      <c r="AP38" s="67"/>
      <c r="AQ38" s="99">
        <f>932+1.483+5+18</f>
        <v>956.48299999999995</v>
      </c>
      <c r="AR38" s="67"/>
      <c r="AS38" s="99">
        <f>932+1.483+5+18</f>
        <v>956.48299999999995</v>
      </c>
      <c r="AT38" s="67"/>
      <c r="AU38" s="99">
        <f>932+1.483+5+18</f>
        <v>956.48299999999995</v>
      </c>
      <c r="AV38" s="67"/>
      <c r="AW38" s="102">
        <v>900</v>
      </c>
      <c r="AX38" s="69"/>
      <c r="AY38" s="104">
        <v>932</v>
      </c>
      <c r="AZ38" s="111"/>
      <c r="BA38" s="71">
        <f t="shared" si="0"/>
        <v>-32</v>
      </c>
      <c r="BB38" s="55"/>
      <c r="BC38" s="106" t="s">
        <v>101</v>
      </c>
    </row>
    <row r="39" spans="1:55" ht="15.75" thickBot="1" x14ac:dyDescent="0.3">
      <c r="A39" s="73"/>
      <c r="B39" s="132"/>
      <c r="C39" s="132"/>
      <c r="D39" s="75" t="s">
        <v>44</v>
      </c>
      <c r="E39" s="76"/>
      <c r="F39" s="77">
        <f>SUM(E34:E38)</f>
        <v>3490.6</v>
      </c>
      <c r="G39" s="78"/>
      <c r="H39" s="79">
        <f>SUM(G34:G38)</f>
        <v>3460.6</v>
      </c>
      <c r="I39" s="78"/>
      <c r="J39" s="79">
        <f>SUM(I34:I38)</f>
        <v>3474.1</v>
      </c>
      <c r="K39" s="78"/>
      <c r="L39" s="79">
        <f>SUM(K34:K38)</f>
        <v>3474.1</v>
      </c>
      <c r="M39" s="78"/>
      <c r="N39" s="79">
        <f>SUM(M34:M38)</f>
        <v>3480.1</v>
      </c>
      <c r="O39" s="78"/>
      <c r="P39" s="79">
        <f>SUM(O34:O38)</f>
        <v>3490.1</v>
      </c>
      <c r="Q39" s="78"/>
      <c r="R39" s="79">
        <f>SUM(Q34:Q38)</f>
        <v>3392</v>
      </c>
      <c r="S39" s="107">
        <f>R39-P39</f>
        <v>-98.099999999999909</v>
      </c>
      <c r="T39" s="91"/>
      <c r="U39" s="78"/>
      <c r="V39" s="79">
        <f>SUM(U34:U38)</f>
        <v>3392</v>
      </c>
      <c r="W39" s="49"/>
      <c r="X39" s="66"/>
      <c r="Y39" s="78"/>
      <c r="Z39" s="79">
        <f>SUM(Y34:Y38)</f>
        <v>3392</v>
      </c>
      <c r="AA39" s="78"/>
      <c r="AB39" s="81">
        <f>SUM(AA34:AA38)</f>
        <v>3392</v>
      </c>
      <c r="AC39" s="78"/>
      <c r="AD39" s="81">
        <f>SUM(AC34:AC38)</f>
        <v>3392</v>
      </c>
      <c r="AE39" s="78"/>
      <c r="AF39" s="81">
        <f>SUM(AE34:AE38)</f>
        <v>3393.4830000000002</v>
      </c>
      <c r="AG39" s="78"/>
      <c r="AH39" s="81">
        <f>SUM(AG34:AG38)</f>
        <v>3393.4830000000002</v>
      </c>
      <c r="AI39" s="78"/>
      <c r="AJ39" s="81">
        <f>SUM(AI34:AI38)</f>
        <v>3393.4830000000002</v>
      </c>
      <c r="AK39" s="78"/>
      <c r="AL39" s="81">
        <f>SUM(AK34:AK38)</f>
        <v>3393.4830000000002</v>
      </c>
      <c r="AM39" s="78"/>
      <c r="AN39" s="81">
        <f>SUM(AM34:AM38)</f>
        <v>3398.4830000000002</v>
      </c>
      <c r="AO39" s="78"/>
      <c r="AP39" s="81">
        <f>SUM(AO34:AO38)</f>
        <v>3398.4830000000002</v>
      </c>
      <c r="AQ39" s="78"/>
      <c r="AR39" s="81">
        <f>SUM(AQ34:AQ38)</f>
        <v>3416.4830000000002</v>
      </c>
      <c r="AS39" s="78"/>
      <c r="AT39" s="81">
        <f>SUM(AS34:AS38)</f>
        <v>3416.4830000000002</v>
      </c>
      <c r="AU39" s="78"/>
      <c r="AV39" s="81">
        <f>SUM(AU34:AU38)</f>
        <v>3416.4830000000002</v>
      </c>
      <c r="AW39" s="82"/>
      <c r="AX39" s="83">
        <f>SUM(AW34:AW38)</f>
        <v>3297</v>
      </c>
      <c r="AY39" s="108"/>
      <c r="AZ39" s="109">
        <f>SUM(AY34:AY38)</f>
        <v>3392</v>
      </c>
      <c r="BA39" s="55"/>
      <c r="BB39" s="85">
        <f>AX39-AZ39</f>
        <v>-95</v>
      </c>
    </row>
    <row r="40" spans="1:55" ht="15.75" thickBot="1" x14ac:dyDescent="0.3">
      <c r="A40" s="145" t="s">
        <v>102</v>
      </c>
      <c r="B40" s="134" t="s">
        <v>103</v>
      </c>
      <c r="C40" s="134"/>
      <c r="D40" s="134"/>
      <c r="E40" s="135">
        <v>650</v>
      </c>
      <c r="F40" s="136">
        <f>SUM(E40)</f>
        <v>650</v>
      </c>
      <c r="G40" s="137">
        <v>650</v>
      </c>
      <c r="H40" s="138">
        <f>SUM(G40)</f>
        <v>650</v>
      </c>
      <c r="I40" s="137">
        <v>650</v>
      </c>
      <c r="J40" s="138">
        <f>SUM(I40)</f>
        <v>650</v>
      </c>
      <c r="K40" s="137">
        <v>650</v>
      </c>
      <c r="L40" s="138">
        <f>SUM(K40)</f>
        <v>650</v>
      </c>
      <c r="M40" s="137">
        <v>650</v>
      </c>
      <c r="N40" s="138">
        <f>SUM(M40)</f>
        <v>650</v>
      </c>
      <c r="O40" s="137">
        <v>650</v>
      </c>
      <c r="P40" s="138">
        <f>SUM(O40)</f>
        <v>650</v>
      </c>
      <c r="Q40" s="137">
        <v>650</v>
      </c>
      <c r="R40" s="138">
        <f>SUM(Q40)</f>
        <v>650</v>
      </c>
      <c r="S40" s="139">
        <f>R40-P40</f>
        <v>0</v>
      </c>
      <c r="T40" s="91"/>
      <c r="U40" s="137">
        <v>650</v>
      </c>
      <c r="V40" s="138">
        <f>SUM(U40)</f>
        <v>650</v>
      </c>
      <c r="W40" s="49">
        <f>U40-Q40</f>
        <v>0</v>
      </c>
      <c r="X40" s="66"/>
      <c r="Y40" s="137">
        <v>650</v>
      </c>
      <c r="Z40" s="138">
        <f>SUM(Y40)</f>
        <v>650</v>
      </c>
      <c r="AA40" s="137">
        <v>650</v>
      </c>
      <c r="AB40" s="140">
        <f>SUM(AA40)</f>
        <v>650</v>
      </c>
      <c r="AC40" s="137">
        <v>650</v>
      </c>
      <c r="AD40" s="140">
        <f>SUM(AC40)</f>
        <v>650</v>
      </c>
      <c r="AE40" s="137">
        <v>650</v>
      </c>
      <c r="AF40" s="140">
        <f>SUM(AE40)</f>
        <v>650</v>
      </c>
      <c r="AG40" s="137">
        <v>650</v>
      </c>
      <c r="AH40" s="140">
        <f>SUM(AG40)</f>
        <v>650</v>
      </c>
      <c r="AI40" s="137">
        <v>650</v>
      </c>
      <c r="AJ40" s="140">
        <f>SUM(AI40)</f>
        <v>650</v>
      </c>
      <c r="AK40" s="137">
        <v>650</v>
      </c>
      <c r="AL40" s="140">
        <f>SUM(AK40)</f>
        <v>650</v>
      </c>
      <c r="AM40" s="137">
        <v>650</v>
      </c>
      <c r="AN40" s="140">
        <f>SUM(AM40)</f>
        <v>650</v>
      </c>
      <c r="AO40" s="137">
        <v>650</v>
      </c>
      <c r="AP40" s="140">
        <f>SUM(AO40)</f>
        <v>650</v>
      </c>
      <c r="AQ40" s="137">
        <v>650</v>
      </c>
      <c r="AR40" s="140">
        <f>SUM(AQ40)</f>
        <v>650</v>
      </c>
      <c r="AS40" s="137">
        <v>650</v>
      </c>
      <c r="AT40" s="140">
        <f>SUM(AS40)</f>
        <v>650</v>
      </c>
      <c r="AU40" s="137">
        <v>650</v>
      </c>
      <c r="AV40" s="140">
        <f>SUM(AU40)</f>
        <v>650</v>
      </c>
      <c r="AW40" s="141">
        <v>770</v>
      </c>
      <c r="AX40" s="142">
        <v>770</v>
      </c>
      <c r="AY40" s="143">
        <v>650</v>
      </c>
      <c r="AZ40" s="144">
        <f>SUM(AY40)</f>
        <v>650</v>
      </c>
      <c r="BA40" s="55">
        <f t="shared" si="0"/>
        <v>120</v>
      </c>
      <c r="BB40" s="85">
        <f>AX40-AZ40</f>
        <v>120</v>
      </c>
    </row>
    <row r="41" spans="1:55" ht="15.75" thickBot="1" x14ac:dyDescent="0.3">
      <c r="A41" s="146"/>
      <c r="B41" s="147" t="s">
        <v>104</v>
      </c>
      <c r="C41" s="147"/>
      <c r="D41" s="147"/>
      <c r="E41" s="124"/>
      <c r="F41" s="148">
        <f>SUM(F4:F40)</f>
        <v>80423</v>
      </c>
      <c r="G41" s="89"/>
      <c r="H41" s="149">
        <f>SUM(H4:H40)</f>
        <v>81102.200000000012</v>
      </c>
      <c r="I41" s="89"/>
      <c r="J41" s="149">
        <f>SUM(J4:J40)</f>
        <v>81517.100000000006</v>
      </c>
      <c r="K41" s="89"/>
      <c r="L41" s="149">
        <f>SUM(L4:L40)</f>
        <v>81588.100000000006</v>
      </c>
      <c r="M41" s="89"/>
      <c r="N41" s="149">
        <f>SUM(N4:N40)</f>
        <v>82125.899999999994</v>
      </c>
      <c r="O41" s="89"/>
      <c r="P41" s="149">
        <f>SUM(P4:P40)</f>
        <v>88683.3</v>
      </c>
      <c r="Q41" s="89"/>
      <c r="R41" s="149">
        <f>SUM(R4:R40)</f>
        <v>89490</v>
      </c>
      <c r="S41" s="80">
        <f>R41-P41</f>
        <v>806.69999999999709</v>
      </c>
      <c r="T41" s="91"/>
      <c r="U41" s="89"/>
      <c r="V41" s="149">
        <f>SUM(V4:V40)</f>
        <v>89518</v>
      </c>
      <c r="W41" s="49"/>
      <c r="X41" s="66"/>
      <c r="Y41" s="89"/>
      <c r="Z41" s="149">
        <f>SUM(Z4:Z40)</f>
        <v>90918</v>
      </c>
      <c r="AA41" s="89"/>
      <c r="AB41" s="150">
        <f>SUM(AB4:AB40)</f>
        <v>92145.948600000003</v>
      </c>
      <c r="AC41" s="89"/>
      <c r="AD41" s="150">
        <f>SUM(AD4:AD40)</f>
        <v>92145.948600000003</v>
      </c>
      <c r="AE41" s="89"/>
      <c r="AF41" s="150">
        <f>SUM(AF4:AF40)</f>
        <v>93022.093600000022</v>
      </c>
      <c r="AG41" s="89"/>
      <c r="AH41" s="150">
        <f>SUM(AH4:AH40)</f>
        <v>93168.728600000002</v>
      </c>
      <c r="AI41" s="89"/>
      <c r="AJ41" s="150">
        <f>SUM(AJ4:AJ40)</f>
        <v>93910.728600000002</v>
      </c>
      <c r="AK41" s="89"/>
      <c r="AL41" s="150">
        <f>SUM(AL4:AL40)</f>
        <v>93930.728600000002</v>
      </c>
      <c r="AM41" s="89"/>
      <c r="AN41" s="150">
        <f>SUM(AN4:AN40)</f>
        <v>94291.02860000002</v>
      </c>
      <c r="AO41" s="89"/>
      <c r="AP41" s="150">
        <f>SUM(AP4:AP40)</f>
        <v>94491.02860000002</v>
      </c>
      <c r="AQ41" s="89"/>
      <c r="AR41" s="150">
        <f>SUM(AR4:AR40)</f>
        <v>98463.558600000018</v>
      </c>
      <c r="AS41" s="89"/>
      <c r="AT41" s="150">
        <f>SUM(AT4:AT40)</f>
        <v>98661.865600000019</v>
      </c>
      <c r="AU41" s="89"/>
      <c r="AV41" s="150">
        <f>SUM(AV4:AV40)</f>
        <v>98786.360600000015</v>
      </c>
      <c r="AW41" s="92"/>
      <c r="AX41" s="151">
        <f>SUM(AX4:AX40)</f>
        <v>112990.62000000001</v>
      </c>
      <c r="AY41" s="93"/>
      <c r="AZ41" s="152">
        <f>SUM(AZ6:AZ40)</f>
        <v>89490</v>
      </c>
      <c r="BA41" s="55"/>
      <c r="BB41" s="85">
        <f>AX41-AZ41</f>
        <v>23500.62000000001</v>
      </c>
    </row>
    <row r="42" spans="1:55" ht="15.75" thickBot="1" x14ac:dyDescent="0.3">
      <c r="A42" s="153"/>
      <c r="B42" s="154" t="s">
        <v>105</v>
      </c>
      <c r="C42" s="154"/>
      <c r="D42" s="154"/>
      <c r="E42" s="76"/>
      <c r="F42" s="155">
        <f>+F41-F40</f>
        <v>79773</v>
      </c>
      <c r="G42" s="78"/>
      <c r="H42" s="156">
        <f>+H41-H40</f>
        <v>80452.200000000012</v>
      </c>
      <c r="I42" s="78"/>
      <c r="J42" s="156">
        <f>+J41-J40</f>
        <v>80867.100000000006</v>
      </c>
      <c r="K42" s="78"/>
      <c r="L42" s="156">
        <f>+L41-L40</f>
        <v>80938.100000000006</v>
      </c>
      <c r="M42" s="78"/>
      <c r="N42" s="156">
        <f>+N41-N40</f>
        <v>81475.899999999994</v>
      </c>
      <c r="O42" s="78"/>
      <c r="P42" s="156">
        <f>+P41-P40</f>
        <v>88033.3</v>
      </c>
      <c r="Q42" s="78"/>
      <c r="R42" s="156">
        <f>+R41-R40</f>
        <v>88840</v>
      </c>
      <c r="S42" s="107">
        <f>R42-P42</f>
        <v>806.69999999999709</v>
      </c>
      <c r="T42" s="157"/>
      <c r="U42" s="78"/>
      <c r="V42" s="156">
        <f>+V41-V40</f>
        <v>88868</v>
      </c>
      <c r="W42" s="49"/>
      <c r="X42" s="66"/>
      <c r="Y42" s="78"/>
      <c r="Z42" s="156">
        <f>+Z41-Z40</f>
        <v>90268</v>
      </c>
      <c r="AA42" s="78"/>
      <c r="AB42" s="158">
        <f>+AB41-AB40</f>
        <v>91495.948600000003</v>
      </c>
      <c r="AC42" s="78"/>
      <c r="AD42" s="158">
        <f>+AD41-AD40</f>
        <v>91495.948600000003</v>
      </c>
      <c r="AE42" s="78"/>
      <c r="AF42" s="158">
        <f>+AF41-AF40</f>
        <v>92372.093600000022</v>
      </c>
      <c r="AG42" s="78"/>
      <c r="AH42" s="158">
        <f>+AH41-AH40</f>
        <v>92518.728600000002</v>
      </c>
      <c r="AI42" s="78"/>
      <c r="AJ42" s="158">
        <f>+AJ41-AJ40</f>
        <v>93260.728600000002</v>
      </c>
      <c r="AK42" s="78"/>
      <c r="AL42" s="158">
        <f>+AL41-AL40</f>
        <v>93280.728600000002</v>
      </c>
      <c r="AM42" s="78"/>
      <c r="AN42" s="158">
        <f>+AN41-AN40</f>
        <v>93641.02860000002</v>
      </c>
      <c r="AO42" s="78"/>
      <c r="AP42" s="158">
        <f>+AP41-AP40</f>
        <v>93841.02860000002</v>
      </c>
      <c r="AQ42" s="78"/>
      <c r="AR42" s="158">
        <f>+AR41-AR40</f>
        <v>97813.558600000018</v>
      </c>
      <c r="AS42" s="78"/>
      <c r="AT42" s="158">
        <f>+AT41-AT40</f>
        <v>98011.865600000019</v>
      </c>
      <c r="AU42" s="78"/>
      <c r="AV42" s="158">
        <f>+AV41-AV40</f>
        <v>98136.360600000015</v>
      </c>
      <c r="AW42" s="82"/>
      <c r="AX42" s="159">
        <f>+AX41-AX40</f>
        <v>112220.62000000001</v>
      </c>
      <c r="AY42" s="108"/>
      <c r="AZ42" s="160">
        <f>+AZ41-AZ40</f>
        <v>88840</v>
      </c>
      <c r="BA42" s="55"/>
      <c r="BB42" s="85">
        <f>AX42-AZ42</f>
        <v>23380.62000000001</v>
      </c>
    </row>
    <row r="43" spans="1:55" ht="18.75" thickBot="1" x14ac:dyDescent="0.3">
      <c r="A43" s="161" t="s">
        <v>106</v>
      </c>
      <c r="B43" s="162"/>
      <c r="C43" s="162"/>
      <c r="D43" s="163"/>
      <c r="E43" s="2" t="s">
        <v>1</v>
      </c>
      <c r="F43" s="2"/>
      <c r="G43" s="2" t="s">
        <v>2</v>
      </c>
      <c r="H43" s="2"/>
      <c r="I43" s="2" t="s">
        <v>3</v>
      </c>
      <c r="J43" s="2"/>
      <c r="K43" s="2" t="s">
        <v>4</v>
      </c>
      <c r="L43" s="2"/>
      <c r="M43" s="2" t="s">
        <v>5</v>
      </c>
      <c r="N43" s="2"/>
      <c r="O43" s="2" t="s">
        <v>107</v>
      </c>
      <c r="P43" s="2"/>
      <c r="Q43" s="2" t="s">
        <v>108</v>
      </c>
      <c r="R43" s="2"/>
      <c r="S43" s="164" t="s">
        <v>8</v>
      </c>
      <c r="T43" s="164" t="s">
        <v>9</v>
      </c>
      <c r="U43" s="2" t="s">
        <v>10</v>
      </c>
      <c r="V43" s="2"/>
      <c r="W43" s="5"/>
      <c r="X43" s="6"/>
      <c r="Y43" s="7" t="s">
        <v>109</v>
      </c>
      <c r="Z43" s="2"/>
      <c r="AA43" s="7" t="s">
        <v>110</v>
      </c>
      <c r="AB43" s="8"/>
      <c r="AC43" s="7" t="s">
        <v>111</v>
      </c>
      <c r="AD43" s="8"/>
      <c r="AE43" s="7" t="s">
        <v>112</v>
      </c>
      <c r="AF43" s="8"/>
      <c r="AG43" s="165" t="s">
        <v>15</v>
      </c>
      <c r="AH43" s="166"/>
      <c r="AI43" s="7" t="s">
        <v>113</v>
      </c>
      <c r="AJ43" s="2"/>
      <c r="AK43" s="7" t="s">
        <v>17</v>
      </c>
      <c r="AL43" s="2"/>
      <c r="AM43" s="7" t="s">
        <v>18</v>
      </c>
      <c r="AN43" s="2"/>
      <c r="AO43" s="7" t="s">
        <v>19</v>
      </c>
      <c r="AP43" s="2"/>
      <c r="AQ43" s="7" t="s">
        <v>20</v>
      </c>
      <c r="AR43" s="2"/>
      <c r="AS43" s="7" t="s">
        <v>20</v>
      </c>
      <c r="AT43" s="2"/>
      <c r="AU43" s="7" t="s">
        <v>20</v>
      </c>
      <c r="AV43" s="2"/>
      <c r="AW43" s="11" t="s">
        <v>23</v>
      </c>
      <c r="AX43" s="12"/>
      <c r="AY43" s="167" t="s">
        <v>108</v>
      </c>
      <c r="AZ43" s="168"/>
      <c r="BA43" s="169" t="s">
        <v>24</v>
      </c>
      <c r="BB43" s="170"/>
      <c r="BC43" s="171"/>
    </row>
    <row r="44" spans="1:55" ht="15.75" thickBot="1" x14ac:dyDescent="0.3">
      <c r="A44" s="172" t="s">
        <v>30</v>
      </c>
      <c r="B44" s="173" t="s">
        <v>31</v>
      </c>
      <c r="C44" s="173" t="s">
        <v>32</v>
      </c>
      <c r="D44" s="174" t="s">
        <v>33</v>
      </c>
      <c r="E44" s="175"/>
      <c r="F44" s="176" t="s">
        <v>34</v>
      </c>
      <c r="G44" s="175"/>
      <c r="H44" s="176" t="s">
        <v>34</v>
      </c>
      <c r="I44" s="175"/>
      <c r="J44" s="176" t="s">
        <v>34</v>
      </c>
      <c r="K44" s="175"/>
      <c r="L44" s="176" t="s">
        <v>34</v>
      </c>
      <c r="M44" s="175"/>
      <c r="N44" s="176" t="s">
        <v>34</v>
      </c>
      <c r="O44" s="175"/>
      <c r="P44" s="176" t="s">
        <v>34</v>
      </c>
      <c r="Q44" s="175"/>
      <c r="R44" s="176" t="s">
        <v>34</v>
      </c>
      <c r="S44" s="28"/>
      <c r="T44" s="177"/>
      <c r="U44" s="175"/>
      <c r="V44" s="176" t="s">
        <v>34</v>
      </c>
      <c r="W44" s="178"/>
      <c r="X44" s="179"/>
      <c r="Y44" s="180"/>
      <c r="Z44" s="176" t="s">
        <v>34</v>
      </c>
      <c r="AA44" s="180"/>
      <c r="AB44" s="178" t="s">
        <v>34</v>
      </c>
      <c r="AC44" s="180"/>
      <c r="AD44" s="178" t="s">
        <v>34</v>
      </c>
      <c r="AE44" s="180"/>
      <c r="AF44" s="181" t="s">
        <v>34</v>
      </c>
      <c r="AG44" s="180"/>
      <c r="AH44" s="182" t="s">
        <v>34</v>
      </c>
      <c r="AI44" s="180"/>
      <c r="AJ44" s="178" t="s">
        <v>34</v>
      </c>
      <c r="AK44" s="180"/>
      <c r="AL44" s="178" t="s">
        <v>34</v>
      </c>
      <c r="AM44" s="180"/>
      <c r="AN44" s="178" t="s">
        <v>34</v>
      </c>
      <c r="AO44" s="180"/>
      <c r="AP44" s="178" t="s">
        <v>34</v>
      </c>
      <c r="AQ44" s="180"/>
      <c r="AR44" s="178" t="s">
        <v>34</v>
      </c>
      <c r="AS44" s="180"/>
      <c r="AT44" s="178" t="s">
        <v>34</v>
      </c>
      <c r="AU44" s="180"/>
      <c r="AV44" s="178" t="s">
        <v>34</v>
      </c>
      <c r="AW44" s="183"/>
      <c r="AX44" s="184" t="s">
        <v>34</v>
      </c>
      <c r="AY44" s="185"/>
      <c r="AZ44" s="186" t="s">
        <v>34</v>
      </c>
      <c r="BA44" s="56"/>
      <c r="BB44" s="187" t="s">
        <v>114</v>
      </c>
    </row>
    <row r="45" spans="1:55" ht="15.75" thickBot="1" x14ac:dyDescent="0.3">
      <c r="A45" s="40" t="s">
        <v>36</v>
      </c>
      <c r="B45" s="128" t="s">
        <v>115</v>
      </c>
      <c r="C45" s="128">
        <v>1</v>
      </c>
      <c r="D45" s="42" t="s">
        <v>116</v>
      </c>
      <c r="E45" s="43">
        <v>2700</v>
      </c>
      <c r="F45" s="188"/>
      <c r="G45" s="45">
        <v>2998</v>
      </c>
      <c r="H45" s="189"/>
      <c r="I45" s="45">
        <v>2998</v>
      </c>
      <c r="J45" s="189"/>
      <c r="K45" s="45">
        <v>2998</v>
      </c>
      <c r="L45" s="189"/>
      <c r="M45" s="45">
        <f>2998+10</f>
        <v>3008</v>
      </c>
      <c r="N45" s="189"/>
      <c r="O45" s="45">
        <v>3008</v>
      </c>
      <c r="P45" s="189"/>
      <c r="Q45" s="45">
        <v>2700</v>
      </c>
      <c r="R45" s="189"/>
      <c r="S45" s="47"/>
      <c r="T45" s="190" t="s">
        <v>117</v>
      </c>
      <c r="U45" s="45">
        <v>2700</v>
      </c>
      <c r="V45" s="189"/>
      <c r="W45" s="191">
        <f t="shared" ref="W45:W53" si="4">U45-Q45</f>
        <v>0</v>
      </c>
      <c r="X45" s="192"/>
      <c r="Y45" s="45">
        <v>2700</v>
      </c>
      <c r="Z45" s="189"/>
      <c r="AA45" s="45">
        <f>2700+775.5486</f>
        <v>3475.5486000000001</v>
      </c>
      <c r="AB45" s="191"/>
      <c r="AC45" s="45">
        <f>2700+775.5486</f>
        <v>3475.5486000000001</v>
      </c>
      <c r="AD45" s="191"/>
      <c r="AE45" s="45">
        <f>2700+775.5486</f>
        <v>3475.5486000000001</v>
      </c>
      <c r="AF45" s="191"/>
      <c r="AG45" s="45">
        <f>2700+775.5486</f>
        <v>3475.5486000000001</v>
      </c>
      <c r="AH45" s="191"/>
      <c r="AI45" s="45">
        <f>2700+775.5486</f>
        <v>3475.5486000000001</v>
      </c>
      <c r="AJ45" s="191"/>
      <c r="AK45" s="45">
        <f>2700+775.5486</f>
        <v>3475.5486000000001</v>
      </c>
      <c r="AL45" s="191"/>
      <c r="AM45" s="45">
        <f>2700+775.5486</f>
        <v>3475.5486000000001</v>
      </c>
      <c r="AN45" s="191"/>
      <c r="AO45" s="45">
        <f>2700+775.5486</f>
        <v>3475.5486000000001</v>
      </c>
      <c r="AP45" s="191"/>
      <c r="AQ45" s="45">
        <f>2700+775.5486</f>
        <v>3475.5486000000001</v>
      </c>
      <c r="AR45" s="191"/>
      <c r="AS45" s="45">
        <f>2700+775.5486</f>
        <v>3475.5486000000001</v>
      </c>
      <c r="AT45" s="191"/>
      <c r="AU45" s="45">
        <f>2700+775.5486</f>
        <v>3475.5486000000001</v>
      </c>
      <c r="AV45" s="191"/>
      <c r="AW45" s="51">
        <v>2823</v>
      </c>
      <c r="AX45" s="193"/>
      <c r="AY45" s="194">
        <v>2700</v>
      </c>
      <c r="AZ45" s="195"/>
      <c r="BA45" s="55">
        <f>AW45-AY45</f>
        <v>123</v>
      </c>
      <c r="BB45" s="56"/>
    </row>
    <row r="46" spans="1:55" ht="15.75" thickBot="1" x14ac:dyDescent="0.3">
      <c r="A46" s="86"/>
      <c r="B46" s="129"/>
      <c r="C46" s="129">
        <v>2</v>
      </c>
      <c r="D46" s="88" t="s">
        <v>118</v>
      </c>
      <c r="E46" s="196"/>
      <c r="F46" s="197"/>
      <c r="G46" s="198"/>
      <c r="H46" s="199"/>
      <c r="I46" s="198"/>
      <c r="J46" s="199"/>
      <c r="K46" s="198"/>
      <c r="L46" s="199"/>
      <c r="M46" s="198"/>
      <c r="N46" s="199"/>
      <c r="O46" s="198">
        <v>0</v>
      </c>
      <c r="P46" s="199"/>
      <c r="Q46" s="198">
        <v>300</v>
      </c>
      <c r="R46" s="199"/>
      <c r="S46" s="47"/>
      <c r="T46" s="126" t="s">
        <v>119</v>
      </c>
      <c r="U46" s="198">
        <v>300</v>
      </c>
      <c r="V46" s="199"/>
      <c r="W46" s="191">
        <f t="shared" si="4"/>
        <v>0</v>
      </c>
      <c r="X46" s="192"/>
      <c r="Y46" s="198">
        <v>300</v>
      </c>
      <c r="Z46" s="199"/>
      <c r="AA46" s="198">
        <v>300</v>
      </c>
      <c r="AB46" s="200"/>
      <c r="AC46" s="198">
        <v>300</v>
      </c>
      <c r="AD46" s="200"/>
      <c r="AE46" s="198">
        <v>300</v>
      </c>
      <c r="AF46" s="200"/>
      <c r="AG46" s="198">
        <v>300</v>
      </c>
      <c r="AH46" s="200"/>
      <c r="AI46" s="198">
        <f>300+250</f>
        <v>550</v>
      </c>
      <c r="AJ46" s="200"/>
      <c r="AK46" s="198">
        <f>300+250</f>
        <v>550</v>
      </c>
      <c r="AL46" s="200"/>
      <c r="AM46" s="198">
        <f>300+250</f>
        <v>550</v>
      </c>
      <c r="AN46" s="200"/>
      <c r="AO46" s="198">
        <f>300+250</f>
        <v>550</v>
      </c>
      <c r="AP46" s="200"/>
      <c r="AQ46" s="198">
        <f>300+250</f>
        <v>550</v>
      </c>
      <c r="AR46" s="200"/>
      <c r="AS46" s="198">
        <f>300+250</f>
        <v>550</v>
      </c>
      <c r="AT46" s="200"/>
      <c r="AU46" s="198">
        <f>300+250</f>
        <v>550</v>
      </c>
      <c r="AV46" s="200"/>
      <c r="AW46" s="201">
        <v>400</v>
      </c>
      <c r="AX46" s="202" t="s">
        <v>120</v>
      </c>
      <c r="AY46" s="203">
        <v>300</v>
      </c>
      <c r="AZ46" s="204"/>
      <c r="BA46" s="55">
        <f t="shared" ref="BA46:BA62" si="5">AW46-AY46</f>
        <v>100</v>
      </c>
      <c r="BB46" s="56"/>
    </row>
    <row r="47" spans="1:55" ht="15.75" thickBot="1" x14ac:dyDescent="0.3">
      <c r="A47" s="86"/>
      <c r="B47" s="129"/>
      <c r="C47" s="129">
        <v>3</v>
      </c>
      <c r="D47" s="88" t="s">
        <v>121</v>
      </c>
      <c r="E47" s="205">
        <v>250</v>
      </c>
      <c r="F47" s="206"/>
      <c r="G47" s="207">
        <v>250</v>
      </c>
      <c r="H47" s="208"/>
      <c r="I47" s="207">
        <v>250</v>
      </c>
      <c r="J47" s="208"/>
      <c r="K47" s="207">
        <v>250</v>
      </c>
      <c r="L47" s="208"/>
      <c r="M47" s="207">
        <v>250</v>
      </c>
      <c r="N47" s="208"/>
      <c r="O47" s="207">
        <v>250</v>
      </c>
      <c r="P47" s="208"/>
      <c r="Q47" s="207">
        <v>250</v>
      </c>
      <c r="R47" s="208"/>
      <c r="S47" s="47"/>
      <c r="T47" s="126" t="s">
        <v>122</v>
      </c>
      <c r="U47" s="207">
        <v>250</v>
      </c>
      <c r="V47" s="208"/>
      <c r="W47" s="191">
        <f t="shared" si="4"/>
        <v>0</v>
      </c>
      <c r="X47" s="192"/>
      <c r="Y47" s="207">
        <v>250</v>
      </c>
      <c r="Z47" s="208"/>
      <c r="AA47" s="207">
        <v>250</v>
      </c>
      <c r="AB47" s="209"/>
      <c r="AC47" s="207">
        <v>250</v>
      </c>
      <c r="AD47" s="209"/>
      <c r="AE47" s="207">
        <v>250</v>
      </c>
      <c r="AF47" s="209"/>
      <c r="AG47" s="207">
        <v>250</v>
      </c>
      <c r="AH47" s="209"/>
      <c r="AI47" s="207">
        <v>250</v>
      </c>
      <c r="AJ47" s="209"/>
      <c r="AK47" s="207">
        <v>250</v>
      </c>
      <c r="AL47" s="209"/>
      <c r="AM47" s="207">
        <v>250</v>
      </c>
      <c r="AN47" s="209"/>
      <c r="AO47" s="207">
        <v>250</v>
      </c>
      <c r="AP47" s="209"/>
      <c r="AQ47" s="207">
        <v>250</v>
      </c>
      <c r="AR47" s="209"/>
      <c r="AS47" s="207">
        <v>250</v>
      </c>
      <c r="AT47" s="209"/>
      <c r="AU47" s="207">
        <v>250</v>
      </c>
      <c r="AV47" s="209"/>
      <c r="AW47" s="210">
        <v>250</v>
      </c>
      <c r="AX47" s="211"/>
      <c r="AY47" s="212">
        <v>250</v>
      </c>
      <c r="AZ47" s="213"/>
      <c r="BA47" s="55">
        <f t="shared" si="5"/>
        <v>0</v>
      </c>
      <c r="BB47" s="56"/>
    </row>
    <row r="48" spans="1:55" ht="15.75" thickBot="1" x14ac:dyDescent="0.3">
      <c r="A48" s="95"/>
      <c r="B48" s="214"/>
      <c r="C48" s="129">
        <v>4</v>
      </c>
      <c r="D48" s="96" t="s">
        <v>123</v>
      </c>
      <c r="E48" s="205">
        <v>570</v>
      </c>
      <c r="F48" s="206"/>
      <c r="G48" s="207">
        <v>760</v>
      </c>
      <c r="H48" s="208"/>
      <c r="I48" s="207">
        <v>760</v>
      </c>
      <c r="J48" s="208"/>
      <c r="K48" s="207">
        <v>760</v>
      </c>
      <c r="L48" s="208"/>
      <c r="M48" s="207">
        <v>760</v>
      </c>
      <c r="N48" s="208"/>
      <c r="O48" s="207">
        <f>760-160+93</f>
        <v>693</v>
      </c>
      <c r="P48" s="208"/>
      <c r="Q48" s="207">
        <v>570</v>
      </c>
      <c r="R48" s="208"/>
      <c r="S48" s="47"/>
      <c r="T48" s="126" t="s">
        <v>122</v>
      </c>
      <c r="U48" s="207">
        <v>570</v>
      </c>
      <c r="V48" s="208"/>
      <c r="W48" s="191">
        <f t="shared" si="4"/>
        <v>0</v>
      </c>
      <c r="X48" s="192"/>
      <c r="Y48" s="207">
        <v>570</v>
      </c>
      <c r="Z48" s="208"/>
      <c r="AA48" s="207">
        <v>570</v>
      </c>
      <c r="AB48" s="209"/>
      <c r="AC48" s="207">
        <v>570</v>
      </c>
      <c r="AD48" s="209"/>
      <c r="AE48" s="207">
        <v>570</v>
      </c>
      <c r="AF48" s="209"/>
      <c r="AG48" s="207">
        <v>570</v>
      </c>
      <c r="AH48" s="209"/>
      <c r="AI48" s="207">
        <v>570</v>
      </c>
      <c r="AJ48" s="209"/>
      <c r="AK48" s="207">
        <v>570</v>
      </c>
      <c r="AL48" s="209"/>
      <c r="AM48" s="207">
        <v>570</v>
      </c>
      <c r="AN48" s="209"/>
      <c r="AO48" s="207">
        <v>570</v>
      </c>
      <c r="AP48" s="209"/>
      <c r="AQ48" s="207">
        <v>570</v>
      </c>
      <c r="AR48" s="209"/>
      <c r="AS48" s="207">
        <v>570</v>
      </c>
      <c r="AT48" s="209"/>
      <c r="AU48" s="207">
        <v>570</v>
      </c>
      <c r="AV48" s="209"/>
      <c r="AW48" s="210">
        <v>570</v>
      </c>
      <c r="AX48" s="125" t="s">
        <v>124</v>
      </c>
      <c r="AY48" s="212">
        <v>570</v>
      </c>
      <c r="AZ48" s="213"/>
      <c r="BA48" s="55">
        <f t="shared" si="5"/>
        <v>0</v>
      </c>
      <c r="BB48" s="56"/>
    </row>
    <row r="49" spans="1:54" ht="15.75" thickBot="1" x14ac:dyDescent="0.3">
      <c r="A49" s="95"/>
      <c r="B49" s="214"/>
      <c r="C49" s="129">
        <v>5</v>
      </c>
      <c r="D49" s="96" t="s">
        <v>125</v>
      </c>
      <c r="E49" s="205">
        <v>350</v>
      </c>
      <c r="F49" s="206"/>
      <c r="G49" s="207">
        <v>350</v>
      </c>
      <c r="H49" s="208"/>
      <c r="I49" s="207">
        <v>350</v>
      </c>
      <c r="J49" s="208"/>
      <c r="K49" s="207">
        <v>350</v>
      </c>
      <c r="L49" s="208"/>
      <c r="M49" s="207">
        <v>350</v>
      </c>
      <c r="N49" s="208"/>
      <c r="O49" s="207">
        <v>350</v>
      </c>
      <c r="P49" s="208"/>
      <c r="Q49" s="207">
        <v>350</v>
      </c>
      <c r="R49" s="208"/>
      <c r="S49" s="47"/>
      <c r="T49" s="126" t="s">
        <v>122</v>
      </c>
      <c r="U49" s="207">
        <v>350</v>
      </c>
      <c r="V49" s="208"/>
      <c r="W49" s="191">
        <f t="shared" si="4"/>
        <v>0</v>
      </c>
      <c r="X49" s="192"/>
      <c r="Y49" s="207">
        <v>350</v>
      </c>
      <c r="Z49" s="208"/>
      <c r="AA49" s="207">
        <v>350</v>
      </c>
      <c r="AB49" s="209"/>
      <c r="AC49" s="207">
        <v>350</v>
      </c>
      <c r="AD49" s="209"/>
      <c r="AE49" s="207">
        <v>350</v>
      </c>
      <c r="AF49" s="209"/>
      <c r="AG49" s="207">
        <v>350</v>
      </c>
      <c r="AH49" s="209"/>
      <c r="AI49" s="207">
        <v>350</v>
      </c>
      <c r="AJ49" s="209"/>
      <c r="AK49" s="207">
        <v>350</v>
      </c>
      <c r="AL49" s="209"/>
      <c r="AM49" s="207">
        <v>350</v>
      </c>
      <c r="AN49" s="209"/>
      <c r="AO49" s="207">
        <v>350</v>
      </c>
      <c r="AP49" s="209"/>
      <c r="AQ49" s="207">
        <v>350</v>
      </c>
      <c r="AR49" s="209"/>
      <c r="AS49" s="207">
        <v>350</v>
      </c>
      <c r="AT49" s="209"/>
      <c r="AU49" s="207">
        <v>350</v>
      </c>
      <c r="AV49" s="209"/>
      <c r="AW49" s="210">
        <v>350</v>
      </c>
      <c r="AX49" s="211"/>
      <c r="AY49" s="212">
        <v>350</v>
      </c>
      <c r="AZ49" s="213"/>
      <c r="BA49" s="55">
        <f t="shared" si="5"/>
        <v>0</v>
      </c>
      <c r="BB49" s="56"/>
    </row>
    <row r="50" spans="1:54" ht="15.75" thickBot="1" x14ac:dyDescent="0.3">
      <c r="A50" s="95"/>
      <c r="B50" s="214"/>
      <c r="C50" s="129">
        <v>6</v>
      </c>
      <c r="D50" s="96" t="s">
        <v>126</v>
      </c>
      <c r="E50" s="205"/>
      <c r="F50" s="206"/>
      <c r="G50" s="207"/>
      <c r="H50" s="208"/>
      <c r="I50" s="207"/>
      <c r="J50" s="208"/>
      <c r="K50" s="207"/>
      <c r="L50" s="208"/>
      <c r="M50" s="207"/>
      <c r="N50" s="208"/>
      <c r="O50" s="207">
        <v>0</v>
      </c>
      <c r="P50" s="208"/>
      <c r="Q50" s="207">
        <f>50+30</f>
        <v>80</v>
      </c>
      <c r="R50" s="208"/>
      <c r="S50" s="47"/>
      <c r="T50" s="126" t="s">
        <v>127</v>
      </c>
      <c r="U50" s="207">
        <f>50+30</f>
        <v>80</v>
      </c>
      <c r="V50" s="208"/>
      <c r="W50" s="191">
        <f t="shared" si="4"/>
        <v>0</v>
      </c>
      <c r="X50" s="192"/>
      <c r="Y50" s="207">
        <f>50+30</f>
        <v>80</v>
      </c>
      <c r="Z50" s="208"/>
      <c r="AA50" s="207">
        <f>50+30</f>
        <v>80</v>
      </c>
      <c r="AB50" s="209"/>
      <c r="AC50" s="207">
        <f>50+30</f>
        <v>80</v>
      </c>
      <c r="AD50" s="209"/>
      <c r="AE50" s="207">
        <f>50+30</f>
        <v>80</v>
      </c>
      <c r="AF50" s="209"/>
      <c r="AG50" s="207">
        <f>50+30</f>
        <v>80</v>
      </c>
      <c r="AH50" s="209"/>
      <c r="AI50" s="207">
        <f>50+30</f>
        <v>80</v>
      </c>
      <c r="AJ50" s="209"/>
      <c r="AK50" s="207">
        <f>50+30</f>
        <v>80</v>
      </c>
      <c r="AL50" s="209"/>
      <c r="AM50" s="207">
        <f>50+30</f>
        <v>80</v>
      </c>
      <c r="AN50" s="209"/>
      <c r="AO50" s="207">
        <f>50+30</f>
        <v>80</v>
      </c>
      <c r="AP50" s="209"/>
      <c r="AQ50" s="207">
        <f>50+30</f>
        <v>80</v>
      </c>
      <c r="AR50" s="209"/>
      <c r="AS50" s="207">
        <f>50+30</f>
        <v>80</v>
      </c>
      <c r="AT50" s="209"/>
      <c r="AU50" s="207">
        <f>50+30</f>
        <v>80</v>
      </c>
      <c r="AV50" s="209"/>
      <c r="AW50" s="210">
        <v>40</v>
      </c>
      <c r="AX50" s="211"/>
      <c r="AY50" s="212">
        <f>50+30</f>
        <v>80</v>
      </c>
      <c r="AZ50" s="213"/>
      <c r="BA50" s="55">
        <f t="shared" si="5"/>
        <v>-40</v>
      </c>
      <c r="BB50" s="56"/>
    </row>
    <row r="51" spans="1:54" ht="15.75" thickBot="1" x14ac:dyDescent="0.3">
      <c r="A51" s="95"/>
      <c r="B51" s="214"/>
      <c r="C51" s="129">
        <v>7</v>
      </c>
      <c r="D51" s="96" t="s">
        <v>128</v>
      </c>
      <c r="E51" s="205">
        <v>385</v>
      </c>
      <c r="F51" s="206"/>
      <c r="G51" s="207">
        <v>385</v>
      </c>
      <c r="H51" s="208"/>
      <c r="I51" s="207">
        <v>385</v>
      </c>
      <c r="J51" s="208"/>
      <c r="K51" s="207">
        <v>385</v>
      </c>
      <c r="L51" s="208"/>
      <c r="M51" s="207">
        <f>385+10</f>
        <v>395</v>
      </c>
      <c r="N51" s="208"/>
      <c r="O51" s="207">
        <f>385+10</f>
        <v>395</v>
      </c>
      <c r="P51" s="208"/>
      <c r="Q51" s="207">
        <v>437</v>
      </c>
      <c r="R51" s="208"/>
      <c r="S51" s="47"/>
      <c r="T51" s="126" t="s">
        <v>129</v>
      </c>
      <c r="U51" s="207">
        <v>437</v>
      </c>
      <c r="V51" s="208"/>
      <c r="W51" s="191">
        <f t="shared" si="4"/>
        <v>0</v>
      </c>
      <c r="X51" s="192"/>
      <c r="Y51" s="207">
        <v>437</v>
      </c>
      <c r="Z51" s="208"/>
      <c r="AA51" s="207">
        <v>437</v>
      </c>
      <c r="AB51" s="209"/>
      <c r="AC51" s="207">
        <v>437</v>
      </c>
      <c r="AD51" s="209"/>
      <c r="AE51" s="207">
        <v>437</v>
      </c>
      <c r="AF51" s="209"/>
      <c r="AG51" s="207">
        <v>437</v>
      </c>
      <c r="AH51" s="209"/>
      <c r="AI51" s="207">
        <v>437</v>
      </c>
      <c r="AJ51" s="209"/>
      <c r="AK51" s="207">
        <f>437+20</f>
        <v>457</v>
      </c>
      <c r="AL51" s="209"/>
      <c r="AM51" s="207">
        <f>437+20</f>
        <v>457</v>
      </c>
      <c r="AN51" s="209"/>
      <c r="AO51" s="207">
        <f>437+20</f>
        <v>457</v>
      </c>
      <c r="AP51" s="209"/>
      <c r="AQ51" s="207">
        <f>437+20</f>
        <v>457</v>
      </c>
      <c r="AR51" s="209"/>
      <c r="AS51" s="207">
        <f>437+20</f>
        <v>457</v>
      </c>
      <c r="AT51" s="209"/>
      <c r="AU51" s="207">
        <f>437+20</f>
        <v>457</v>
      </c>
      <c r="AV51" s="209"/>
      <c r="AW51" s="210">
        <v>500</v>
      </c>
      <c r="AX51" s="125" t="s">
        <v>130</v>
      </c>
      <c r="AY51" s="212">
        <v>437</v>
      </c>
      <c r="AZ51" s="213"/>
      <c r="BA51" s="55">
        <f t="shared" si="5"/>
        <v>63</v>
      </c>
      <c r="BB51" s="56"/>
    </row>
    <row r="52" spans="1:54" ht="15.75" thickBot="1" x14ac:dyDescent="0.3">
      <c r="A52" s="95"/>
      <c r="B52" s="214"/>
      <c r="C52" s="129">
        <v>8</v>
      </c>
      <c r="D52" s="96" t="s">
        <v>131</v>
      </c>
      <c r="E52" s="205">
        <v>840</v>
      </c>
      <c r="F52" s="206"/>
      <c r="G52" s="207">
        <v>840</v>
      </c>
      <c r="H52" s="208"/>
      <c r="I52" s="207">
        <v>840</v>
      </c>
      <c r="J52" s="208"/>
      <c r="K52" s="207">
        <v>840</v>
      </c>
      <c r="L52" s="208"/>
      <c r="M52" s="207">
        <v>840</v>
      </c>
      <c r="N52" s="208"/>
      <c r="O52" s="207">
        <v>840</v>
      </c>
      <c r="P52" s="208"/>
      <c r="Q52" s="207">
        <v>840</v>
      </c>
      <c r="R52" s="208"/>
      <c r="S52" s="47"/>
      <c r="T52" s="126" t="s">
        <v>122</v>
      </c>
      <c r="U52" s="207">
        <v>840</v>
      </c>
      <c r="V52" s="208"/>
      <c r="W52" s="191">
        <f t="shared" si="4"/>
        <v>0</v>
      </c>
      <c r="X52" s="192"/>
      <c r="Y52" s="207">
        <v>840</v>
      </c>
      <c r="Z52" s="208"/>
      <c r="AA52" s="207">
        <v>840</v>
      </c>
      <c r="AB52" s="209"/>
      <c r="AC52" s="207">
        <v>840</v>
      </c>
      <c r="AD52" s="209"/>
      <c r="AE52" s="207">
        <f>840+472.62</f>
        <v>1312.62</v>
      </c>
      <c r="AF52" s="209"/>
      <c r="AG52" s="207">
        <f>840+472.62</f>
        <v>1312.62</v>
      </c>
      <c r="AH52" s="209"/>
      <c r="AI52" s="207">
        <f>840+472.62</f>
        <v>1312.62</v>
      </c>
      <c r="AJ52" s="209"/>
      <c r="AK52" s="207">
        <f>840+472.62</f>
        <v>1312.62</v>
      </c>
      <c r="AL52" s="209"/>
      <c r="AM52" s="207">
        <f>840+472.62</f>
        <v>1312.62</v>
      </c>
      <c r="AN52" s="209"/>
      <c r="AO52" s="207">
        <f>840+472.62</f>
        <v>1312.62</v>
      </c>
      <c r="AP52" s="209"/>
      <c r="AQ52" s="207">
        <f>840+472.62</f>
        <v>1312.62</v>
      </c>
      <c r="AR52" s="209"/>
      <c r="AS52" s="207">
        <f>840+472.62</f>
        <v>1312.62</v>
      </c>
      <c r="AT52" s="209"/>
      <c r="AU52" s="207">
        <f>840+472.62</f>
        <v>1312.62</v>
      </c>
      <c r="AV52" s="209"/>
      <c r="AW52" s="210">
        <v>840</v>
      </c>
      <c r="AX52" s="211"/>
      <c r="AY52" s="212">
        <v>840</v>
      </c>
      <c r="AZ52" s="213"/>
      <c r="BA52" s="55">
        <f t="shared" si="5"/>
        <v>0</v>
      </c>
      <c r="BB52" s="56"/>
    </row>
    <row r="53" spans="1:54" ht="15.75" thickBot="1" x14ac:dyDescent="0.3">
      <c r="A53" s="112"/>
      <c r="B53" s="131"/>
      <c r="C53" s="129">
        <v>9</v>
      </c>
      <c r="D53" s="114" t="s">
        <v>132</v>
      </c>
      <c r="E53" s="205">
        <v>182</v>
      </c>
      <c r="F53" s="206"/>
      <c r="G53" s="207">
        <v>182</v>
      </c>
      <c r="H53" s="208"/>
      <c r="I53" s="207">
        <v>182</v>
      </c>
      <c r="J53" s="208"/>
      <c r="K53" s="207">
        <v>182</v>
      </c>
      <c r="L53" s="208"/>
      <c r="M53" s="207">
        <v>182</v>
      </c>
      <c r="N53" s="208"/>
      <c r="O53" s="207">
        <v>182</v>
      </c>
      <c r="P53" s="208"/>
      <c r="Q53" s="207">
        <v>182</v>
      </c>
      <c r="R53" s="208"/>
      <c r="S53" s="47"/>
      <c r="T53" s="126" t="s">
        <v>122</v>
      </c>
      <c r="U53" s="207">
        <v>182</v>
      </c>
      <c r="V53" s="208"/>
      <c r="W53" s="191">
        <f t="shared" si="4"/>
        <v>0</v>
      </c>
      <c r="X53" s="192"/>
      <c r="Y53" s="207">
        <v>182</v>
      </c>
      <c r="Z53" s="208"/>
      <c r="AA53" s="207">
        <v>182</v>
      </c>
      <c r="AB53" s="209"/>
      <c r="AC53" s="207">
        <v>182</v>
      </c>
      <c r="AD53" s="209"/>
      <c r="AE53" s="207">
        <v>182</v>
      </c>
      <c r="AF53" s="209"/>
      <c r="AG53" s="207">
        <v>182</v>
      </c>
      <c r="AH53" s="209"/>
      <c r="AI53" s="207">
        <v>182</v>
      </c>
      <c r="AJ53" s="209"/>
      <c r="AK53" s="207">
        <v>182</v>
      </c>
      <c r="AL53" s="209"/>
      <c r="AM53" s="207">
        <v>182</v>
      </c>
      <c r="AN53" s="209"/>
      <c r="AO53" s="207">
        <v>182</v>
      </c>
      <c r="AP53" s="209"/>
      <c r="AQ53" s="207">
        <v>182</v>
      </c>
      <c r="AR53" s="209"/>
      <c r="AS53" s="207">
        <v>182</v>
      </c>
      <c r="AT53" s="209"/>
      <c r="AU53" s="207">
        <v>182</v>
      </c>
      <c r="AV53" s="209"/>
      <c r="AW53" s="210">
        <v>182</v>
      </c>
      <c r="AX53" s="211"/>
      <c r="AY53" s="212">
        <v>182</v>
      </c>
      <c r="AZ53" s="213"/>
      <c r="BA53" s="55">
        <f t="shared" si="5"/>
        <v>0</v>
      </c>
      <c r="BB53" s="56"/>
    </row>
    <row r="54" spans="1:54" ht="15.75" thickBot="1" x14ac:dyDescent="0.3">
      <c r="A54" s="112"/>
      <c r="B54" s="131"/>
      <c r="C54" s="131"/>
      <c r="D54" s="114" t="s">
        <v>44</v>
      </c>
      <c r="E54" s="215"/>
      <c r="F54" s="216">
        <f>SUM(E45:E53)</f>
        <v>5277</v>
      </c>
      <c r="G54" s="217"/>
      <c r="H54" s="218">
        <f>SUM(G45:G53)</f>
        <v>5765</v>
      </c>
      <c r="I54" s="217"/>
      <c r="J54" s="218">
        <f>SUM(I45:I53)</f>
        <v>5765</v>
      </c>
      <c r="K54" s="217"/>
      <c r="L54" s="218">
        <f>SUM(K45:K53)</f>
        <v>5765</v>
      </c>
      <c r="M54" s="217"/>
      <c r="N54" s="218">
        <f>SUM(M45:M53)</f>
        <v>5785</v>
      </c>
      <c r="O54" s="217"/>
      <c r="P54" s="218">
        <v>5868</v>
      </c>
      <c r="Q54" s="217"/>
      <c r="R54" s="218">
        <f>SUM(Q45:Q53)</f>
        <v>5709</v>
      </c>
      <c r="S54" s="107">
        <f>R54-P54</f>
        <v>-159</v>
      </c>
      <c r="T54" s="91"/>
      <c r="U54" s="217"/>
      <c r="V54" s="218">
        <f>SUM(U45:U53)</f>
        <v>5709</v>
      </c>
      <c r="W54" s="191"/>
      <c r="X54" s="192"/>
      <c r="Y54" s="217"/>
      <c r="Z54" s="218">
        <f>SUM(Y45:Y53)</f>
        <v>5709</v>
      </c>
      <c r="AA54" s="217"/>
      <c r="AB54" s="219">
        <f>SUM(AA45:AA53)</f>
        <v>6484.5486000000001</v>
      </c>
      <c r="AC54" s="217"/>
      <c r="AD54" s="219">
        <f>SUM(AC45:AC53)</f>
        <v>6484.5486000000001</v>
      </c>
      <c r="AE54" s="217"/>
      <c r="AF54" s="219">
        <f>SUM(AE45:AE53)</f>
        <v>6957.1686</v>
      </c>
      <c r="AG54" s="217"/>
      <c r="AH54" s="219">
        <f>SUM(AG45:AG53)</f>
        <v>6957.1686</v>
      </c>
      <c r="AI54" s="217"/>
      <c r="AJ54" s="219">
        <f>SUM(AI45:AI53)</f>
        <v>7207.1686</v>
      </c>
      <c r="AK54" s="217"/>
      <c r="AL54" s="219">
        <f>SUM(AK45:AK53)</f>
        <v>7227.1686</v>
      </c>
      <c r="AM54" s="217"/>
      <c r="AN54" s="219">
        <f>SUM(AM45:AM53)</f>
        <v>7227.1686</v>
      </c>
      <c r="AO54" s="217"/>
      <c r="AP54" s="219">
        <f>SUM(AO45:AO53)</f>
        <v>7227.1686</v>
      </c>
      <c r="AQ54" s="217"/>
      <c r="AR54" s="219">
        <f>SUM(AQ45:AQ53)</f>
        <v>7227.1686</v>
      </c>
      <c r="AS54" s="217"/>
      <c r="AT54" s="219">
        <f>SUM(AS45:AS53)</f>
        <v>7227.1686</v>
      </c>
      <c r="AU54" s="217"/>
      <c r="AV54" s="219">
        <f>SUM(AU45:AU53)</f>
        <v>7227.1686</v>
      </c>
      <c r="AW54" s="220"/>
      <c r="AX54" s="221">
        <f>SUM(AW45:AW53)</f>
        <v>5955</v>
      </c>
      <c r="AY54" s="222"/>
      <c r="AZ54" s="223">
        <f>SUM(AY45:AY53)</f>
        <v>5709</v>
      </c>
      <c r="BA54" s="55">
        <f t="shared" si="5"/>
        <v>0</v>
      </c>
      <c r="BB54" s="55">
        <f>AX54-AZ54</f>
        <v>246</v>
      </c>
    </row>
    <row r="55" spans="1:54" ht="15.75" thickBot="1" x14ac:dyDescent="0.3">
      <c r="A55" s="40" t="s">
        <v>45</v>
      </c>
      <c r="B55" s="128" t="s">
        <v>133</v>
      </c>
      <c r="C55" s="128">
        <v>1</v>
      </c>
      <c r="D55" s="42" t="s">
        <v>134</v>
      </c>
      <c r="E55" s="224">
        <v>28100</v>
      </c>
      <c r="F55" s="225"/>
      <c r="G55" s="226">
        <v>28100</v>
      </c>
      <c r="H55" s="227"/>
      <c r="I55" s="226">
        <v>28135</v>
      </c>
      <c r="J55" s="227"/>
      <c r="K55" s="226">
        <v>28135</v>
      </c>
      <c r="L55" s="227"/>
      <c r="M55" s="226">
        <f>28135+38+387.4+86.4</f>
        <v>28646.800000000003</v>
      </c>
      <c r="N55" s="227"/>
      <c r="O55" s="226">
        <f>28135+38+387.4+86.4</f>
        <v>28646.800000000003</v>
      </c>
      <c r="P55" s="227"/>
      <c r="Q55" s="226">
        <v>29640</v>
      </c>
      <c r="R55" s="227"/>
      <c r="S55" s="228"/>
      <c r="T55" s="229" t="s">
        <v>135</v>
      </c>
      <c r="U55" s="226">
        <f>29640+28</f>
        <v>29668</v>
      </c>
      <c r="V55" s="227"/>
      <c r="W55" s="230">
        <f>U55-Q55</f>
        <v>28</v>
      </c>
      <c r="X55" s="231" t="s">
        <v>40</v>
      </c>
      <c r="Y55" s="226">
        <f>29640+28</f>
        <v>29668</v>
      </c>
      <c r="Z55" s="227"/>
      <c r="AA55" s="226">
        <f>29640+28</f>
        <v>29668</v>
      </c>
      <c r="AB55" s="230"/>
      <c r="AC55" s="226">
        <f>29640+28</f>
        <v>29668</v>
      </c>
      <c r="AD55" s="230"/>
      <c r="AE55" s="226">
        <f>29640+28+20+22</f>
        <v>29710</v>
      </c>
      <c r="AF55" s="230"/>
      <c r="AG55" s="226">
        <f>29640+28+20+22+24.968</f>
        <v>29734.968000000001</v>
      </c>
      <c r="AH55" s="230"/>
      <c r="AI55" s="226">
        <f>29640+28+20+22+24.968</f>
        <v>29734.968000000001</v>
      </c>
      <c r="AJ55" s="230"/>
      <c r="AK55" s="226">
        <f>29640+28+20+22+24.968+20</f>
        <v>29754.968000000001</v>
      </c>
      <c r="AL55" s="230"/>
      <c r="AM55" s="226">
        <f>29640+28+20+22+24.968+20+355.3</f>
        <v>30110.268</v>
      </c>
      <c r="AN55" s="230"/>
      <c r="AO55" s="226">
        <f>29640+28+20+22+24.968+20+355.3</f>
        <v>30110.268</v>
      </c>
      <c r="AP55" s="230"/>
      <c r="AQ55" s="226">
        <f>29640+28+20+22+24.968+20+355.3+250+100+100</f>
        <v>30560.268</v>
      </c>
      <c r="AR55" s="230"/>
      <c r="AS55" s="226">
        <f>29640+28+20+22+24.968+20+355.3+250+100+100+30+18.307</f>
        <v>30608.575000000001</v>
      </c>
      <c r="AT55" s="230"/>
      <c r="AU55" s="226">
        <f>29640+28+20+22+24.968+20+355.3+250+100+100+30+18.307-20+20</f>
        <v>30608.575000000001</v>
      </c>
      <c r="AV55" s="230"/>
      <c r="AW55" s="51">
        <v>33010</v>
      </c>
      <c r="AX55" s="193"/>
      <c r="AY55" s="194">
        <v>29640</v>
      </c>
      <c r="AZ55" s="195"/>
      <c r="BA55" s="55">
        <f t="shared" si="5"/>
        <v>3370</v>
      </c>
      <c r="BB55" s="55"/>
    </row>
    <row r="56" spans="1:54" ht="15.75" thickBot="1" x14ac:dyDescent="0.3">
      <c r="A56" s="95"/>
      <c r="B56" s="214"/>
      <c r="C56" s="214">
        <v>2</v>
      </c>
      <c r="D56" s="96" t="s">
        <v>136</v>
      </c>
      <c r="E56" s="205">
        <v>990</v>
      </c>
      <c r="F56" s="206"/>
      <c r="G56" s="207">
        <v>990</v>
      </c>
      <c r="H56" s="208"/>
      <c r="I56" s="207">
        <v>990</v>
      </c>
      <c r="J56" s="208"/>
      <c r="K56" s="207">
        <v>990</v>
      </c>
      <c r="L56" s="208"/>
      <c r="M56" s="207">
        <v>990</v>
      </c>
      <c r="N56" s="208"/>
      <c r="O56" s="207">
        <f>990+35</f>
        <v>1025</v>
      </c>
      <c r="P56" s="208"/>
      <c r="Q56" s="207">
        <f>990+35</f>
        <v>1025</v>
      </c>
      <c r="R56" s="208"/>
      <c r="S56" s="47"/>
      <c r="T56" s="91" t="s">
        <v>137</v>
      </c>
      <c r="U56" s="207">
        <f>990+35</f>
        <v>1025</v>
      </c>
      <c r="V56" s="208"/>
      <c r="W56" s="191">
        <f>U56-Q56</f>
        <v>0</v>
      </c>
      <c r="X56" s="192"/>
      <c r="Y56" s="207">
        <f>990+35</f>
        <v>1025</v>
      </c>
      <c r="Z56" s="208"/>
      <c r="AA56" s="207">
        <f>990+35</f>
        <v>1025</v>
      </c>
      <c r="AB56" s="209"/>
      <c r="AC56" s="207">
        <f>990+35</f>
        <v>1025</v>
      </c>
      <c r="AD56" s="209"/>
      <c r="AE56" s="207">
        <f>990+35</f>
        <v>1025</v>
      </c>
      <c r="AF56" s="209"/>
      <c r="AG56" s="207">
        <f>990+35</f>
        <v>1025</v>
      </c>
      <c r="AH56" s="209"/>
      <c r="AI56" s="207">
        <f>990+35</f>
        <v>1025</v>
      </c>
      <c r="AJ56" s="209"/>
      <c r="AK56" s="207">
        <f>990+35</f>
        <v>1025</v>
      </c>
      <c r="AL56" s="209"/>
      <c r="AM56" s="207">
        <f>990+35</f>
        <v>1025</v>
      </c>
      <c r="AN56" s="209"/>
      <c r="AO56" s="207">
        <f>990+35</f>
        <v>1025</v>
      </c>
      <c r="AP56" s="209"/>
      <c r="AQ56" s="207">
        <f>990+35</f>
        <v>1025</v>
      </c>
      <c r="AR56" s="209"/>
      <c r="AS56" s="207">
        <f>990+35</f>
        <v>1025</v>
      </c>
      <c r="AT56" s="209"/>
      <c r="AU56" s="207">
        <f>990+35+20</f>
        <v>1045</v>
      </c>
      <c r="AV56" s="209"/>
      <c r="AW56" s="210">
        <v>1075</v>
      </c>
      <c r="AX56" s="211"/>
      <c r="AY56" s="212">
        <f>990+35</f>
        <v>1025</v>
      </c>
      <c r="AZ56" s="213"/>
      <c r="BA56" s="55">
        <f t="shared" si="5"/>
        <v>50</v>
      </c>
      <c r="BB56" s="55"/>
    </row>
    <row r="57" spans="1:54" ht="15.75" thickBot="1" x14ac:dyDescent="0.3">
      <c r="A57" s="73"/>
      <c r="B57" s="132"/>
      <c r="C57" s="132"/>
      <c r="D57" s="75" t="s">
        <v>44</v>
      </c>
      <c r="E57" s="215"/>
      <c r="F57" s="232">
        <f>SUM(E55:E56)</f>
        <v>29090</v>
      </c>
      <c r="G57" s="217"/>
      <c r="H57" s="233">
        <f>SUM(G55:G56)</f>
        <v>29090</v>
      </c>
      <c r="I57" s="217"/>
      <c r="J57" s="233">
        <f>SUM(I55:I56)</f>
        <v>29125</v>
      </c>
      <c r="K57" s="217"/>
      <c r="L57" s="233">
        <f>SUM(K55:K56)</f>
        <v>29125</v>
      </c>
      <c r="M57" s="217"/>
      <c r="N57" s="233">
        <f>SUM(M55:M56)</f>
        <v>29636.800000000003</v>
      </c>
      <c r="O57" s="217"/>
      <c r="P57" s="233">
        <f>SUM(O55:O56)</f>
        <v>29671.800000000003</v>
      </c>
      <c r="Q57" s="217"/>
      <c r="R57" s="233">
        <f>SUM(Q55:Q56)</f>
        <v>30665</v>
      </c>
      <c r="S57" s="107">
        <f>R57-P57</f>
        <v>993.19999999999709</v>
      </c>
      <c r="T57" s="91"/>
      <c r="U57" s="217"/>
      <c r="V57" s="233">
        <f>SUM(U55:U56)</f>
        <v>30693</v>
      </c>
      <c r="W57" s="191"/>
      <c r="X57" s="192"/>
      <c r="Y57" s="217"/>
      <c r="Z57" s="233">
        <f>SUM(Y55:Y56)</f>
        <v>30693</v>
      </c>
      <c r="AA57" s="217"/>
      <c r="AB57" s="234">
        <f>SUM(AA55:AA56)</f>
        <v>30693</v>
      </c>
      <c r="AC57" s="217"/>
      <c r="AD57" s="234">
        <f>SUM(AC55:AC56)</f>
        <v>30693</v>
      </c>
      <c r="AE57" s="217"/>
      <c r="AF57" s="234">
        <f>SUM(AE55:AE56)</f>
        <v>30735</v>
      </c>
      <c r="AG57" s="217"/>
      <c r="AH57" s="234">
        <f>SUM(AG55:AG56)</f>
        <v>30759.968000000001</v>
      </c>
      <c r="AI57" s="217"/>
      <c r="AJ57" s="234">
        <f>SUM(AI55:AI56)</f>
        <v>30759.968000000001</v>
      </c>
      <c r="AK57" s="217"/>
      <c r="AL57" s="234">
        <f>SUM(AK55:AK56)</f>
        <v>30779.968000000001</v>
      </c>
      <c r="AM57" s="217"/>
      <c r="AN57" s="234">
        <f>SUM(AM55:AM56)</f>
        <v>31135.268</v>
      </c>
      <c r="AO57" s="217"/>
      <c r="AP57" s="234">
        <f>SUM(AO55:AO56)</f>
        <v>31135.268</v>
      </c>
      <c r="AQ57" s="217"/>
      <c r="AR57" s="234">
        <f>SUM(AQ55:AQ56)</f>
        <v>31585.268</v>
      </c>
      <c r="AS57" s="217"/>
      <c r="AT57" s="234">
        <f>SUM(AS55:AS56)</f>
        <v>31633.575000000001</v>
      </c>
      <c r="AU57" s="217"/>
      <c r="AV57" s="234">
        <f>SUM(AU55:AU56)</f>
        <v>31653.575000000001</v>
      </c>
      <c r="AW57" s="220"/>
      <c r="AX57" s="235">
        <f>SUM(AW55:AW56)</f>
        <v>34085</v>
      </c>
      <c r="AY57" s="222"/>
      <c r="AZ57" s="236">
        <f>SUM(AY55:AY56)</f>
        <v>30665</v>
      </c>
      <c r="BA57" s="55"/>
      <c r="BB57" s="55">
        <f>AX57-AZ57</f>
        <v>3420</v>
      </c>
    </row>
    <row r="58" spans="1:54" ht="15.75" thickBot="1" x14ac:dyDescent="0.3">
      <c r="A58" s="40" t="s">
        <v>53</v>
      </c>
      <c r="B58" s="128" t="s">
        <v>138</v>
      </c>
      <c r="C58" s="128">
        <v>1</v>
      </c>
      <c r="D58" s="42" t="s">
        <v>139</v>
      </c>
      <c r="E58" s="43">
        <v>1135</v>
      </c>
      <c r="F58" s="188"/>
      <c r="G58" s="45">
        <f>1135+11.8</f>
        <v>1146.8</v>
      </c>
      <c r="H58" s="189"/>
      <c r="I58" s="45">
        <f>1135+11.8+290</f>
        <v>1436.8</v>
      </c>
      <c r="J58" s="189"/>
      <c r="K58" s="45">
        <f>I58+80</f>
        <v>1516.8</v>
      </c>
      <c r="L58" s="189"/>
      <c r="M58" s="45">
        <f>K58</f>
        <v>1516.8</v>
      </c>
      <c r="N58" s="189"/>
      <c r="O58" s="45">
        <f>M58+10+45</f>
        <v>1571.8</v>
      </c>
      <c r="P58" s="189"/>
      <c r="Q58" s="45">
        <f>1224-200+120</f>
        <v>1144</v>
      </c>
      <c r="R58" s="189"/>
      <c r="S58" s="237"/>
      <c r="T58" s="91" t="s">
        <v>140</v>
      </c>
      <c r="U58" s="45">
        <f>1224-200+120</f>
        <v>1144</v>
      </c>
      <c r="V58" s="189"/>
      <c r="W58" s="191">
        <f>U58-Q58</f>
        <v>0</v>
      </c>
      <c r="X58" s="192"/>
      <c r="Y58" s="45">
        <f>1224-200+120</f>
        <v>1144</v>
      </c>
      <c r="Z58" s="189"/>
      <c r="AA58" s="45">
        <f>1224-200+120+12</f>
        <v>1156</v>
      </c>
      <c r="AB58" s="191"/>
      <c r="AC58" s="45">
        <f>1224-200+120+12</f>
        <v>1156</v>
      </c>
      <c r="AD58" s="191"/>
      <c r="AE58" s="45">
        <f>1224-200+120+12</f>
        <v>1156</v>
      </c>
      <c r="AF58" s="191"/>
      <c r="AG58" s="45">
        <f>1224-200+120+12</f>
        <v>1156</v>
      </c>
      <c r="AH58" s="191"/>
      <c r="AI58" s="45">
        <f>1224-200+120+12</f>
        <v>1156</v>
      </c>
      <c r="AJ58" s="191"/>
      <c r="AK58" s="45">
        <f>1224-200+120+12</f>
        <v>1156</v>
      </c>
      <c r="AL58" s="191"/>
      <c r="AM58" s="45">
        <f>1224-200+120+12</f>
        <v>1156</v>
      </c>
      <c r="AN58" s="191"/>
      <c r="AO58" s="45">
        <f>1224-200+120+12</f>
        <v>1156</v>
      </c>
      <c r="AP58" s="191"/>
      <c r="AQ58" s="45">
        <f>1224-200+120+12</f>
        <v>1156</v>
      </c>
      <c r="AR58" s="191"/>
      <c r="AS58" s="45">
        <f>1224-200+120+12</f>
        <v>1156</v>
      </c>
      <c r="AT58" s="191"/>
      <c r="AU58" s="45">
        <f>1224-200+120+12+45+12.3+24.1</f>
        <v>1237.3999999999999</v>
      </c>
      <c r="AV58" s="191"/>
      <c r="AW58" s="51">
        <v>1245</v>
      </c>
      <c r="AX58" s="193"/>
      <c r="AY58" s="194">
        <f>1224-200+120</f>
        <v>1144</v>
      </c>
      <c r="AZ58" s="195"/>
      <c r="BA58" s="55">
        <f t="shared" si="5"/>
        <v>101</v>
      </c>
      <c r="BB58" s="55"/>
    </row>
    <row r="59" spans="1:54" ht="15.75" thickBot="1" x14ac:dyDescent="0.3">
      <c r="A59" s="95"/>
      <c r="B59" s="214"/>
      <c r="C59" s="214">
        <f>+C58+1</f>
        <v>2</v>
      </c>
      <c r="D59" s="96" t="s">
        <v>141</v>
      </c>
      <c r="E59" s="205">
        <f>770</f>
        <v>770</v>
      </c>
      <c r="F59" s="206"/>
      <c r="G59" s="207">
        <f>770+60</f>
        <v>830</v>
      </c>
      <c r="H59" s="208"/>
      <c r="I59" s="207">
        <f>770+60+366.4</f>
        <v>1196.4000000000001</v>
      </c>
      <c r="J59" s="208"/>
      <c r="K59" s="207">
        <f>770+60+366.4</f>
        <v>1196.4000000000001</v>
      </c>
      <c r="L59" s="208"/>
      <c r="M59" s="207">
        <f>770+60+366.4</f>
        <v>1196.4000000000001</v>
      </c>
      <c r="N59" s="208"/>
      <c r="O59" s="207">
        <f>770+60+366.4</f>
        <v>1196.4000000000001</v>
      </c>
      <c r="P59" s="208"/>
      <c r="Q59" s="207">
        <f>180+860</f>
        <v>1040</v>
      </c>
      <c r="R59" s="208"/>
      <c r="S59" s="130"/>
      <c r="T59" s="91" t="s">
        <v>142</v>
      </c>
      <c r="U59" s="207">
        <f>180+860</f>
        <v>1040</v>
      </c>
      <c r="V59" s="208"/>
      <c r="W59" s="191">
        <f>U59-Q59</f>
        <v>0</v>
      </c>
      <c r="X59" s="192"/>
      <c r="Y59" s="207">
        <f>180+860</f>
        <v>1040</v>
      </c>
      <c r="Z59" s="208"/>
      <c r="AA59" s="207">
        <f>180+860</f>
        <v>1040</v>
      </c>
      <c r="AB59" s="209"/>
      <c r="AC59" s="207">
        <f>180+860</f>
        <v>1040</v>
      </c>
      <c r="AD59" s="209"/>
      <c r="AE59" s="207">
        <f>180+860+380.042</f>
        <v>1420.0419999999999</v>
      </c>
      <c r="AF59" s="209"/>
      <c r="AG59" s="207">
        <f>180+860+380.042</f>
        <v>1420.0419999999999</v>
      </c>
      <c r="AH59" s="209"/>
      <c r="AI59" s="207">
        <f>180+860+380.042</f>
        <v>1420.0419999999999</v>
      </c>
      <c r="AJ59" s="209"/>
      <c r="AK59" s="207">
        <f>180+860+380.042</f>
        <v>1420.0419999999999</v>
      </c>
      <c r="AL59" s="209"/>
      <c r="AM59" s="207">
        <f>180+860+380.042</f>
        <v>1420.0419999999999</v>
      </c>
      <c r="AN59" s="209"/>
      <c r="AO59" s="207">
        <f>180+860+380.042</f>
        <v>1420.0419999999999</v>
      </c>
      <c r="AP59" s="209"/>
      <c r="AQ59" s="207">
        <f>180+860+380.042</f>
        <v>1420.0419999999999</v>
      </c>
      <c r="AR59" s="209"/>
      <c r="AS59" s="207">
        <f>180+860+380.042</f>
        <v>1420.0419999999999</v>
      </c>
      <c r="AT59" s="209"/>
      <c r="AU59" s="207">
        <f>180+860+380.042+45</f>
        <v>1465.0419999999999</v>
      </c>
      <c r="AV59" s="209"/>
      <c r="AW59" s="210">
        <v>1095</v>
      </c>
      <c r="AX59" s="211"/>
      <c r="AY59" s="212">
        <f>180+860</f>
        <v>1040</v>
      </c>
      <c r="AZ59" s="213"/>
      <c r="BA59" s="55">
        <f t="shared" si="5"/>
        <v>55</v>
      </c>
      <c r="BB59" s="55"/>
    </row>
    <row r="60" spans="1:54" ht="15.75" thickBot="1" x14ac:dyDescent="0.3">
      <c r="A60" s="95"/>
      <c r="B60" s="214"/>
      <c r="C60" s="214">
        <f>+C59+1</f>
        <v>3</v>
      </c>
      <c r="D60" s="96" t="s">
        <v>143</v>
      </c>
      <c r="E60" s="205">
        <v>150</v>
      </c>
      <c r="F60" s="206"/>
      <c r="G60" s="207">
        <f>150+30</f>
        <v>180</v>
      </c>
      <c r="H60" s="208"/>
      <c r="I60" s="207">
        <f>150+30</f>
        <v>180</v>
      </c>
      <c r="J60" s="208"/>
      <c r="K60" s="207">
        <f>150+30</f>
        <v>180</v>
      </c>
      <c r="L60" s="208"/>
      <c r="M60" s="207">
        <f>150+30</f>
        <v>180</v>
      </c>
      <c r="N60" s="208"/>
      <c r="O60" s="207">
        <v>0</v>
      </c>
      <c r="P60" s="208"/>
      <c r="Q60" s="207">
        <v>200</v>
      </c>
      <c r="R60" s="208"/>
      <c r="S60" s="130"/>
      <c r="T60" s="91" t="s">
        <v>144</v>
      </c>
      <c r="U60" s="207">
        <v>200</v>
      </c>
      <c r="V60" s="208"/>
      <c r="W60" s="191">
        <f>U60-Q60</f>
        <v>0</v>
      </c>
      <c r="X60" s="192"/>
      <c r="Y60" s="207">
        <v>200</v>
      </c>
      <c r="Z60" s="208"/>
      <c r="AA60" s="207">
        <v>200</v>
      </c>
      <c r="AB60" s="209"/>
      <c r="AC60" s="207">
        <v>200</v>
      </c>
      <c r="AD60" s="209"/>
      <c r="AE60" s="207">
        <v>200</v>
      </c>
      <c r="AF60" s="209"/>
      <c r="AG60" s="207">
        <v>200</v>
      </c>
      <c r="AH60" s="209"/>
      <c r="AI60" s="207">
        <v>200</v>
      </c>
      <c r="AJ60" s="209"/>
      <c r="AK60" s="207">
        <v>200</v>
      </c>
      <c r="AL60" s="209"/>
      <c r="AM60" s="207">
        <v>200</v>
      </c>
      <c r="AN60" s="209"/>
      <c r="AO60" s="207">
        <v>200</v>
      </c>
      <c r="AP60" s="209"/>
      <c r="AQ60" s="207">
        <v>200</v>
      </c>
      <c r="AR60" s="209"/>
      <c r="AS60" s="207">
        <v>200</v>
      </c>
      <c r="AT60" s="209"/>
      <c r="AU60" s="207">
        <v>200</v>
      </c>
      <c r="AV60" s="209"/>
      <c r="AW60" s="210">
        <v>100</v>
      </c>
      <c r="AX60" s="211"/>
      <c r="AY60" s="212">
        <v>200</v>
      </c>
      <c r="AZ60" s="213"/>
      <c r="BA60" s="55">
        <f t="shared" si="5"/>
        <v>-100</v>
      </c>
      <c r="BB60" s="55"/>
    </row>
    <row r="61" spans="1:54" ht="15.75" thickBot="1" x14ac:dyDescent="0.3">
      <c r="A61" s="95"/>
      <c r="B61" s="214"/>
      <c r="C61" s="214">
        <f>+C60+1</f>
        <v>4</v>
      </c>
      <c r="D61" s="96" t="s">
        <v>145</v>
      </c>
      <c r="E61" s="205">
        <v>525</v>
      </c>
      <c r="F61" s="206"/>
      <c r="G61" s="207">
        <f>525</f>
        <v>525</v>
      </c>
      <c r="H61" s="208"/>
      <c r="I61" s="207">
        <f>525</f>
        <v>525</v>
      </c>
      <c r="J61" s="208"/>
      <c r="K61" s="207">
        <f>525</f>
        <v>525</v>
      </c>
      <c r="L61" s="208"/>
      <c r="M61" s="207">
        <f>525</f>
        <v>525</v>
      </c>
      <c r="N61" s="208"/>
      <c r="O61" s="207">
        <f>525</f>
        <v>525</v>
      </c>
      <c r="P61" s="208"/>
      <c r="Q61" s="207">
        <f>525</f>
        <v>525</v>
      </c>
      <c r="R61" s="208"/>
      <c r="S61" s="130"/>
      <c r="T61" s="91" t="s">
        <v>146</v>
      </c>
      <c r="U61" s="207">
        <f>525</f>
        <v>525</v>
      </c>
      <c r="V61" s="208"/>
      <c r="W61" s="191">
        <f>U61-Q61</f>
        <v>0</v>
      </c>
      <c r="X61" s="192"/>
      <c r="Y61" s="207">
        <f>525</f>
        <v>525</v>
      </c>
      <c r="Z61" s="208"/>
      <c r="AA61" s="207">
        <f>525</f>
        <v>525</v>
      </c>
      <c r="AB61" s="209"/>
      <c r="AC61" s="207">
        <f>525</f>
        <v>525</v>
      </c>
      <c r="AD61" s="209"/>
      <c r="AE61" s="207">
        <f>525</f>
        <v>525</v>
      </c>
      <c r="AF61" s="209"/>
      <c r="AG61" s="207">
        <f>525</f>
        <v>525</v>
      </c>
      <c r="AH61" s="209"/>
      <c r="AI61" s="207">
        <f>525</f>
        <v>525</v>
      </c>
      <c r="AJ61" s="209"/>
      <c r="AK61" s="207">
        <f>525</f>
        <v>525</v>
      </c>
      <c r="AL61" s="209"/>
      <c r="AM61" s="207">
        <f>525</f>
        <v>525</v>
      </c>
      <c r="AN61" s="209"/>
      <c r="AO61" s="207">
        <f>525</f>
        <v>525</v>
      </c>
      <c r="AP61" s="209"/>
      <c r="AQ61" s="207">
        <f>525</f>
        <v>525</v>
      </c>
      <c r="AR61" s="209"/>
      <c r="AS61" s="207">
        <f>525</f>
        <v>525</v>
      </c>
      <c r="AT61" s="209"/>
      <c r="AU61" s="207">
        <f>525</f>
        <v>525</v>
      </c>
      <c r="AV61" s="209"/>
      <c r="AW61" s="210">
        <v>525</v>
      </c>
      <c r="AX61" s="211"/>
      <c r="AY61" s="212">
        <f>525</f>
        <v>525</v>
      </c>
      <c r="AZ61" s="213"/>
      <c r="BA61" s="55">
        <f t="shared" si="5"/>
        <v>0</v>
      </c>
      <c r="BB61" s="55"/>
    </row>
    <row r="62" spans="1:54" ht="15.75" thickBot="1" x14ac:dyDescent="0.3">
      <c r="A62" s="95"/>
      <c r="B62" s="214"/>
      <c r="C62" s="214">
        <f>+C61+1</f>
        <v>5</v>
      </c>
      <c r="D62" s="96" t="s">
        <v>147</v>
      </c>
      <c r="E62" s="205">
        <v>750</v>
      </c>
      <c r="F62" s="206"/>
      <c r="G62" s="207">
        <f>750-11.8</f>
        <v>738.2</v>
      </c>
      <c r="H62" s="208"/>
      <c r="I62" s="207">
        <f>750-11.8-290</f>
        <v>448.20000000000005</v>
      </c>
      <c r="J62" s="208"/>
      <c r="K62" s="207">
        <f>I62</f>
        <v>448.20000000000005</v>
      </c>
      <c r="L62" s="208"/>
      <c r="M62" s="207">
        <f>K62</f>
        <v>448.20000000000005</v>
      </c>
      <c r="N62" s="208"/>
      <c r="O62" s="207">
        <f>M62+50</f>
        <v>498.20000000000005</v>
      </c>
      <c r="P62" s="238"/>
      <c r="Q62" s="207">
        <f>300+400+100</f>
        <v>800</v>
      </c>
      <c r="R62" s="238"/>
      <c r="S62" s="130"/>
      <c r="T62" s="91" t="s">
        <v>148</v>
      </c>
      <c r="U62" s="207">
        <f>300+400+100</f>
        <v>800</v>
      </c>
      <c r="V62" s="238"/>
      <c r="W62" s="191">
        <f>U62-Q62</f>
        <v>0</v>
      </c>
      <c r="X62" s="192"/>
      <c r="Y62" s="207">
        <f>300+400+100</f>
        <v>800</v>
      </c>
      <c r="Z62" s="238"/>
      <c r="AA62" s="207">
        <f>300+400+100-12</f>
        <v>788</v>
      </c>
      <c r="AB62" s="239"/>
      <c r="AC62" s="207">
        <f>300+400+100-12</f>
        <v>788</v>
      </c>
      <c r="AD62" s="239"/>
      <c r="AE62" s="207">
        <f>300+400+100-12+1.483</f>
        <v>789.48299999999995</v>
      </c>
      <c r="AF62" s="239"/>
      <c r="AG62" s="207">
        <f>300+400+100-12+1.483</f>
        <v>789.48299999999995</v>
      </c>
      <c r="AH62" s="239"/>
      <c r="AI62" s="207">
        <f>300+400+100-12+1.483-137-50</f>
        <v>602.48299999999995</v>
      </c>
      <c r="AJ62" s="239"/>
      <c r="AK62" s="207">
        <f>300+400+100-12+1.483-137-50</f>
        <v>602.48299999999995</v>
      </c>
      <c r="AL62" s="239"/>
      <c r="AM62" s="207">
        <f>300+400+100-12+1.483-137-50+200</f>
        <v>802.48299999999995</v>
      </c>
      <c r="AN62" s="239"/>
      <c r="AO62" s="207">
        <f>300+400+100-12+1.483-137-50+200</f>
        <v>802.48299999999995</v>
      </c>
      <c r="AP62" s="239"/>
      <c r="AQ62" s="207">
        <f>300+400+100-12+1.483-137-50+200+200</f>
        <v>1002.4829999999999</v>
      </c>
      <c r="AR62" s="239"/>
      <c r="AS62" s="207">
        <f>300+400+100-12+1.483-137-50+200+200</f>
        <v>1002.4829999999999</v>
      </c>
      <c r="AT62" s="239"/>
      <c r="AU62" s="207">
        <f>300+400+100-12+1.483-137-50+200+200+20-12.3-24.1</f>
        <v>986.08299999999997</v>
      </c>
      <c r="AV62" s="239"/>
      <c r="AW62" s="210">
        <v>800</v>
      </c>
      <c r="AX62" s="240"/>
      <c r="AY62" s="212">
        <f>300+400+100</f>
        <v>800</v>
      </c>
      <c r="AZ62" s="241"/>
      <c r="BA62" s="55">
        <f t="shared" si="5"/>
        <v>0</v>
      </c>
      <c r="BB62" s="55"/>
    </row>
    <row r="63" spans="1:54" ht="15.75" thickBot="1" x14ac:dyDescent="0.3">
      <c r="A63" s="73"/>
      <c r="B63" s="132" t="s">
        <v>149</v>
      </c>
      <c r="C63" s="132"/>
      <c r="D63" s="242" t="s">
        <v>44</v>
      </c>
      <c r="E63" s="215"/>
      <c r="F63" s="232">
        <f>SUM(E58:E62)</f>
        <v>3330</v>
      </c>
      <c r="G63" s="217"/>
      <c r="H63" s="233">
        <f>SUM(G58:G62)</f>
        <v>3420</v>
      </c>
      <c r="I63" s="217"/>
      <c r="J63" s="233">
        <f>SUM(I58:I62)</f>
        <v>3786.3999999999996</v>
      </c>
      <c r="K63" s="217"/>
      <c r="L63" s="233">
        <f>SUM(K58:K62)</f>
        <v>3866.3999999999996</v>
      </c>
      <c r="M63" s="217"/>
      <c r="N63" s="233">
        <f>SUM(M58:M62)</f>
        <v>3866.3999999999996</v>
      </c>
      <c r="O63" s="217"/>
      <c r="P63" s="233">
        <v>3971.4</v>
      </c>
      <c r="Q63" s="217"/>
      <c r="R63" s="233">
        <f>SUM(Q58:Q62)</f>
        <v>3709</v>
      </c>
      <c r="S63" s="107">
        <f>R63-P63</f>
        <v>-262.40000000000009</v>
      </c>
      <c r="T63" s="91"/>
      <c r="U63" s="217"/>
      <c r="V63" s="233">
        <f>SUM(U58:U62)</f>
        <v>3709</v>
      </c>
      <c r="W63" s="191"/>
      <c r="X63" s="192"/>
      <c r="Y63" s="217"/>
      <c r="Z63" s="233">
        <f>SUM(Y58:Y62)</f>
        <v>3709</v>
      </c>
      <c r="AA63" s="217"/>
      <c r="AB63" s="234">
        <f>SUM(AA58:AA62)</f>
        <v>3709</v>
      </c>
      <c r="AC63" s="217"/>
      <c r="AD63" s="234">
        <f>SUM(AC58:AC62)</f>
        <v>3709</v>
      </c>
      <c r="AE63" s="217"/>
      <c r="AF63" s="234">
        <f>SUM(AE58:AE62)</f>
        <v>4090.5249999999996</v>
      </c>
      <c r="AG63" s="217"/>
      <c r="AH63" s="234">
        <f>SUM(AG58:AG62)</f>
        <v>4090.5249999999996</v>
      </c>
      <c r="AI63" s="217"/>
      <c r="AJ63" s="234">
        <f>SUM(AI58:AI62)</f>
        <v>3903.5249999999996</v>
      </c>
      <c r="AK63" s="217"/>
      <c r="AL63" s="234">
        <f>SUM(AK58:AK62)</f>
        <v>3903.5249999999996</v>
      </c>
      <c r="AM63" s="217"/>
      <c r="AN63" s="234">
        <f>SUM(AM58:AM62)</f>
        <v>4103.5249999999996</v>
      </c>
      <c r="AO63" s="217"/>
      <c r="AP63" s="234">
        <f>SUM(AO58:AO62)</f>
        <v>4103.5249999999996</v>
      </c>
      <c r="AQ63" s="217"/>
      <c r="AR63" s="234">
        <f>SUM(AQ58:AQ62)</f>
        <v>4303.5249999999996</v>
      </c>
      <c r="AS63" s="217"/>
      <c r="AT63" s="234">
        <f>SUM(AS58:AS62)</f>
        <v>4303.5249999999996</v>
      </c>
      <c r="AU63" s="217"/>
      <c r="AV63" s="234">
        <f>SUM(AU58:AU62)</f>
        <v>4413.5249999999996</v>
      </c>
      <c r="AW63" s="220"/>
      <c r="AX63" s="235">
        <f>SUM(AW58:AW62)</f>
        <v>3765</v>
      </c>
      <c r="AY63" s="222"/>
      <c r="AZ63" s="236">
        <f>SUM(AY58:AY62)</f>
        <v>3709</v>
      </c>
      <c r="BA63" s="55"/>
      <c r="BB63" s="55">
        <f>AX63-AZ63</f>
        <v>56</v>
      </c>
    </row>
    <row r="64" spans="1:54" ht="15.75" thickBot="1" x14ac:dyDescent="0.3">
      <c r="A64" s="40" t="s">
        <v>72</v>
      </c>
      <c r="B64" s="243" t="s">
        <v>150</v>
      </c>
      <c r="C64" s="128">
        <v>1</v>
      </c>
      <c r="D64" s="244" t="s">
        <v>151</v>
      </c>
      <c r="E64" s="245">
        <f>2500+700</f>
        <v>3200</v>
      </c>
      <c r="F64" s="246"/>
      <c r="G64" s="247">
        <f>2500+700</f>
        <v>3200</v>
      </c>
      <c r="H64" s="248"/>
      <c r="I64" s="247">
        <f>2500+700</f>
        <v>3200</v>
      </c>
      <c r="J64" s="248"/>
      <c r="K64" s="247">
        <f>2500+700</f>
        <v>3200</v>
      </c>
      <c r="L64" s="248"/>
      <c r="M64" s="247">
        <f>2500+700</f>
        <v>3200</v>
      </c>
      <c r="N64" s="248"/>
      <c r="O64" s="45"/>
      <c r="P64" s="189"/>
      <c r="Q64" s="45">
        <v>7000</v>
      </c>
      <c r="R64" s="189"/>
      <c r="S64" s="90"/>
      <c r="T64" s="126" t="s">
        <v>152</v>
      </c>
      <c r="U64" s="45">
        <v>7000</v>
      </c>
      <c r="V64" s="189"/>
      <c r="W64" s="191">
        <f t="shared" ref="W64:W77" si="6">U64-Q64</f>
        <v>0</v>
      </c>
      <c r="X64" s="192"/>
      <c r="Y64" s="45">
        <v>7000</v>
      </c>
      <c r="Z64" s="189"/>
      <c r="AA64" s="45">
        <v>7000</v>
      </c>
      <c r="AB64" s="191"/>
      <c r="AC64" s="45">
        <v>7000</v>
      </c>
      <c r="AD64" s="191"/>
      <c r="AE64" s="45">
        <v>7000</v>
      </c>
      <c r="AF64" s="191"/>
      <c r="AG64" s="45">
        <v>7000</v>
      </c>
      <c r="AH64" s="191"/>
      <c r="AI64" s="45">
        <v>7000</v>
      </c>
      <c r="AJ64" s="191"/>
      <c r="AK64" s="45">
        <v>7000</v>
      </c>
      <c r="AL64" s="191"/>
      <c r="AM64" s="45">
        <v>7000</v>
      </c>
      <c r="AN64" s="191"/>
      <c r="AO64" s="45">
        <v>7000</v>
      </c>
      <c r="AP64" s="191"/>
      <c r="AQ64" s="45">
        <f>7000+1000</f>
        <v>8000</v>
      </c>
      <c r="AR64" s="191"/>
      <c r="AS64" s="45">
        <f>7000+1000</f>
        <v>8000</v>
      </c>
      <c r="AT64" s="191"/>
      <c r="AU64" s="45">
        <f>7000+1000</f>
        <v>8000</v>
      </c>
      <c r="AV64" s="191"/>
      <c r="AW64" s="51">
        <v>12500</v>
      </c>
      <c r="AX64" s="249" t="s">
        <v>153</v>
      </c>
      <c r="AY64" s="250"/>
    </row>
    <row r="65" spans="1:55" ht="15.75" thickBot="1" x14ac:dyDescent="0.3">
      <c r="A65" s="57"/>
      <c r="B65" s="251" t="s">
        <v>154</v>
      </c>
      <c r="C65" s="129">
        <v>2</v>
      </c>
      <c r="D65" s="252" t="s">
        <v>155</v>
      </c>
      <c r="E65" s="253"/>
      <c r="F65" s="254"/>
      <c r="G65" s="255"/>
      <c r="H65" s="256"/>
      <c r="I65" s="255"/>
      <c r="J65" s="256"/>
      <c r="K65" s="255"/>
      <c r="L65" s="256"/>
      <c r="M65" s="255"/>
      <c r="N65" s="256"/>
      <c r="O65" s="255"/>
      <c r="P65" s="256"/>
      <c r="Q65" s="255">
        <v>2000</v>
      </c>
      <c r="R65" s="256"/>
      <c r="S65" s="47"/>
      <c r="T65" s="126"/>
      <c r="U65" s="255">
        <v>2000</v>
      </c>
      <c r="V65" s="256"/>
      <c r="W65" s="191">
        <f t="shared" si="6"/>
        <v>0</v>
      </c>
      <c r="X65" s="192"/>
      <c r="Y65" s="255">
        <f>2000+1100</f>
        <v>3100</v>
      </c>
      <c r="Z65" s="256"/>
      <c r="AA65" s="255">
        <f>2000+1100</f>
        <v>3100</v>
      </c>
      <c r="AB65" s="257"/>
      <c r="AC65" s="255">
        <f>2000+1100</f>
        <v>3100</v>
      </c>
      <c r="AD65" s="257"/>
      <c r="AE65" s="255">
        <f>2000+1100</f>
        <v>3100</v>
      </c>
      <c r="AF65" s="257"/>
      <c r="AG65" s="255">
        <f>2000+1100</f>
        <v>3100</v>
      </c>
      <c r="AH65" s="257"/>
      <c r="AI65" s="255">
        <f>2000+1100+100</f>
        <v>3200</v>
      </c>
      <c r="AJ65" s="257"/>
      <c r="AK65" s="255">
        <f>2000+1100+100</f>
        <v>3200</v>
      </c>
      <c r="AL65" s="257"/>
      <c r="AM65" s="255">
        <f>2000+1100+100</f>
        <v>3200</v>
      </c>
      <c r="AN65" s="257"/>
      <c r="AO65" s="255">
        <f>2000+1100+100</f>
        <v>3200</v>
      </c>
      <c r="AP65" s="257"/>
      <c r="AQ65" s="255">
        <f>2000+1100+100</f>
        <v>3200</v>
      </c>
      <c r="AR65" s="257"/>
      <c r="AS65" s="255">
        <f>2000+1100+100</f>
        <v>3200</v>
      </c>
      <c r="AT65" s="257"/>
      <c r="AU65" s="255">
        <f>2000+1100+100</f>
        <v>3200</v>
      </c>
      <c r="AV65" s="257"/>
      <c r="AW65" s="258">
        <v>5700</v>
      </c>
      <c r="AX65" s="259" t="s">
        <v>156</v>
      </c>
      <c r="AY65" s="250"/>
    </row>
    <row r="66" spans="1:55" ht="15.75" thickBot="1" x14ac:dyDescent="0.3">
      <c r="A66" s="112"/>
      <c r="B66" s="260" t="s">
        <v>157</v>
      </c>
      <c r="C66" s="129">
        <v>3</v>
      </c>
      <c r="D66" s="96" t="s">
        <v>158</v>
      </c>
      <c r="E66" s="261">
        <v>500</v>
      </c>
      <c r="F66" s="262"/>
      <c r="G66" s="263">
        <v>500</v>
      </c>
      <c r="H66" s="264"/>
      <c r="I66" s="263">
        <v>500</v>
      </c>
      <c r="J66" s="264"/>
      <c r="K66" s="263">
        <v>500</v>
      </c>
      <c r="L66" s="264"/>
      <c r="M66" s="263">
        <v>500</v>
      </c>
      <c r="N66" s="264"/>
      <c r="O66" s="263"/>
      <c r="P66" s="264"/>
      <c r="Q66" s="263">
        <v>2250</v>
      </c>
      <c r="R66" s="264"/>
      <c r="S66" s="130"/>
      <c r="T66" s="91" t="s">
        <v>159</v>
      </c>
      <c r="U66" s="263">
        <v>2250</v>
      </c>
      <c r="V66" s="264"/>
      <c r="W66" s="191">
        <f t="shared" si="6"/>
        <v>0</v>
      </c>
      <c r="X66" s="192"/>
      <c r="Y66" s="263">
        <v>2250</v>
      </c>
      <c r="Z66" s="264"/>
      <c r="AA66" s="263">
        <v>2250</v>
      </c>
      <c r="AB66" s="265"/>
      <c r="AC66" s="263">
        <f>2250-700</f>
        <v>1550</v>
      </c>
      <c r="AD66" s="265"/>
      <c r="AE66" s="263">
        <f>2250-700</f>
        <v>1550</v>
      </c>
      <c r="AF66" s="265"/>
      <c r="AG66" s="263">
        <f>2250-700</f>
        <v>1550</v>
      </c>
      <c r="AH66" s="265"/>
      <c r="AI66" s="263">
        <f>2250-700+92+60</f>
        <v>1702</v>
      </c>
      <c r="AJ66" s="265"/>
      <c r="AK66" s="263">
        <f>2250-700+92+60</f>
        <v>1702</v>
      </c>
      <c r="AL66" s="265"/>
      <c r="AM66" s="263">
        <f>2250-700+92+60</f>
        <v>1702</v>
      </c>
      <c r="AN66" s="265"/>
      <c r="AO66" s="263">
        <f>2250-700+92+60</f>
        <v>1702</v>
      </c>
      <c r="AP66" s="265"/>
      <c r="AQ66" s="263">
        <f>2250-700+92+60</f>
        <v>1702</v>
      </c>
      <c r="AR66" s="265"/>
      <c r="AS66" s="263">
        <f>2250-700+92+60</f>
        <v>1702</v>
      </c>
      <c r="AT66" s="265"/>
      <c r="AU66" s="263">
        <f>2250-700+92+60</f>
        <v>1702</v>
      </c>
      <c r="AV66" s="265"/>
      <c r="AW66" s="266">
        <v>600</v>
      </c>
      <c r="AX66" s="127" t="s">
        <v>160</v>
      </c>
      <c r="AY66" s="267"/>
    </row>
    <row r="67" spans="1:55" ht="15.75" thickBot="1" x14ac:dyDescent="0.3">
      <c r="A67" s="112"/>
      <c r="B67" s="268" t="s">
        <v>161</v>
      </c>
      <c r="C67" s="129">
        <v>4</v>
      </c>
      <c r="D67" s="96" t="s">
        <v>162</v>
      </c>
      <c r="E67" s="261"/>
      <c r="F67" s="262"/>
      <c r="G67" s="263">
        <v>0</v>
      </c>
      <c r="H67" s="264"/>
      <c r="I67" s="263">
        <v>0</v>
      </c>
      <c r="J67" s="264"/>
      <c r="K67" s="263">
        <v>100</v>
      </c>
      <c r="L67" s="264"/>
      <c r="M67" s="263">
        <v>100</v>
      </c>
      <c r="N67" s="264"/>
      <c r="O67" s="263"/>
      <c r="P67" s="264"/>
      <c r="Q67" s="263">
        <v>1600</v>
      </c>
      <c r="R67" s="264"/>
      <c r="S67" s="130"/>
      <c r="T67" s="91" t="s">
        <v>163</v>
      </c>
      <c r="U67" s="263">
        <v>1600</v>
      </c>
      <c r="V67" s="264"/>
      <c r="W67" s="191">
        <f t="shared" si="6"/>
        <v>0</v>
      </c>
      <c r="X67" s="192"/>
      <c r="Y67" s="263">
        <v>1600</v>
      </c>
      <c r="Z67" s="264"/>
      <c r="AA67" s="263">
        <v>1600</v>
      </c>
      <c r="AB67" s="265"/>
      <c r="AC67" s="263">
        <v>1600</v>
      </c>
      <c r="AD67" s="265"/>
      <c r="AE67" s="263">
        <v>1600</v>
      </c>
      <c r="AF67" s="265"/>
      <c r="AG67" s="263">
        <v>1600</v>
      </c>
      <c r="AH67" s="265"/>
      <c r="AI67" s="263">
        <v>1600</v>
      </c>
      <c r="AJ67" s="265"/>
      <c r="AK67" s="263">
        <v>1600</v>
      </c>
      <c r="AL67" s="265"/>
      <c r="AM67" s="263">
        <v>1600</v>
      </c>
      <c r="AN67" s="265"/>
      <c r="AO67" s="263">
        <f>1600+200</f>
        <v>1800</v>
      </c>
      <c r="AP67" s="265"/>
      <c r="AQ67" s="263">
        <f>1600+200-350-85-250</f>
        <v>1115</v>
      </c>
      <c r="AR67" s="265"/>
      <c r="AS67" s="263">
        <f>1600+200-350-85-250</f>
        <v>1115</v>
      </c>
      <c r="AT67" s="265"/>
      <c r="AU67" s="263">
        <f>1600+200-350-85-250</f>
        <v>1115</v>
      </c>
      <c r="AV67" s="265"/>
      <c r="AW67" s="266">
        <v>950</v>
      </c>
      <c r="AX67" s="127" t="s">
        <v>164</v>
      </c>
      <c r="AY67" s="267"/>
    </row>
    <row r="68" spans="1:55" ht="15.75" thickBot="1" x14ac:dyDescent="0.3">
      <c r="A68" s="112"/>
      <c r="B68" s="260" t="s">
        <v>165</v>
      </c>
      <c r="C68" s="129">
        <v>5</v>
      </c>
      <c r="D68" s="96" t="s">
        <v>166</v>
      </c>
      <c r="E68" s="261"/>
      <c r="F68" s="262"/>
      <c r="G68" s="263"/>
      <c r="H68" s="264"/>
      <c r="I68" s="263"/>
      <c r="J68" s="264"/>
      <c r="K68" s="263"/>
      <c r="L68" s="264"/>
      <c r="M68" s="263"/>
      <c r="N68" s="264"/>
      <c r="O68" s="263"/>
      <c r="P68" s="264"/>
      <c r="Q68" s="263">
        <f>1000</f>
        <v>1000</v>
      </c>
      <c r="R68" s="264"/>
      <c r="S68" s="130"/>
      <c r="T68" s="91" t="s">
        <v>167</v>
      </c>
      <c r="U68" s="263">
        <f>1000</f>
        <v>1000</v>
      </c>
      <c r="V68" s="264"/>
      <c r="W68" s="191">
        <f t="shared" si="6"/>
        <v>0</v>
      </c>
      <c r="X68" s="192"/>
      <c r="Y68" s="263">
        <f>1000</f>
        <v>1000</v>
      </c>
      <c r="Z68" s="264"/>
      <c r="AA68" s="263">
        <f>1000</f>
        <v>1000</v>
      </c>
      <c r="AB68" s="265"/>
      <c r="AC68" s="263">
        <f>1000</f>
        <v>1000</v>
      </c>
      <c r="AD68" s="265"/>
      <c r="AE68" s="263">
        <f>1000</f>
        <v>1000</v>
      </c>
      <c r="AF68" s="265"/>
      <c r="AG68" s="263">
        <f>1000</f>
        <v>1000</v>
      </c>
      <c r="AH68" s="265"/>
      <c r="AI68" s="263">
        <f>1000</f>
        <v>1000</v>
      </c>
      <c r="AJ68" s="265"/>
      <c r="AK68" s="263">
        <f>1000</f>
        <v>1000</v>
      </c>
      <c r="AL68" s="265"/>
      <c r="AM68" s="263">
        <f>1000</f>
        <v>1000</v>
      </c>
      <c r="AN68" s="265"/>
      <c r="AO68" s="263">
        <f>1000</f>
        <v>1000</v>
      </c>
      <c r="AP68" s="265"/>
      <c r="AQ68" s="263">
        <f>1000</f>
        <v>1000</v>
      </c>
      <c r="AR68" s="265"/>
      <c r="AS68" s="263">
        <f>1000</f>
        <v>1000</v>
      </c>
      <c r="AT68" s="265"/>
      <c r="AU68" s="263">
        <f>1000</f>
        <v>1000</v>
      </c>
      <c r="AV68" s="265"/>
      <c r="AW68" s="266">
        <v>2500</v>
      </c>
      <c r="AX68" s="125" t="s">
        <v>168</v>
      </c>
      <c r="AY68" s="267"/>
    </row>
    <row r="69" spans="1:55" ht="15.75" thickBot="1" x14ac:dyDescent="0.3">
      <c r="A69" s="112"/>
      <c r="B69" s="260" t="s">
        <v>254</v>
      </c>
      <c r="C69" s="129">
        <v>6</v>
      </c>
      <c r="D69" s="96" t="s">
        <v>169</v>
      </c>
      <c r="E69" s="261">
        <v>300</v>
      </c>
      <c r="F69" s="262"/>
      <c r="G69" s="263">
        <v>300</v>
      </c>
      <c r="H69" s="264"/>
      <c r="I69" s="263">
        <v>300</v>
      </c>
      <c r="J69" s="264"/>
      <c r="K69" s="263">
        <v>300</v>
      </c>
      <c r="L69" s="264"/>
      <c r="M69" s="263">
        <v>300</v>
      </c>
      <c r="N69" s="264"/>
      <c r="O69" s="263"/>
      <c r="P69" s="264"/>
      <c r="Q69" s="263">
        <v>1100</v>
      </c>
      <c r="R69" s="264"/>
      <c r="S69" s="130"/>
      <c r="T69" s="91" t="s">
        <v>170</v>
      </c>
      <c r="U69" s="263">
        <v>1100</v>
      </c>
      <c r="V69" s="264"/>
      <c r="W69" s="191">
        <f t="shared" si="6"/>
        <v>0</v>
      </c>
      <c r="X69" s="192"/>
      <c r="Y69" s="263">
        <f>1100+100</f>
        <v>1200</v>
      </c>
      <c r="Z69" s="264"/>
      <c r="AA69" s="263">
        <f>1100+100</f>
        <v>1200</v>
      </c>
      <c r="AB69" s="265"/>
      <c r="AC69" s="263">
        <f>1100+100</f>
        <v>1200</v>
      </c>
      <c r="AD69" s="265"/>
      <c r="AE69" s="263">
        <f>1100+100</f>
        <v>1200</v>
      </c>
      <c r="AF69" s="265"/>
      <c r="AG69" s="263">
        <f>1100+100</f>
        <v>1200</v>
      </c>
      <c r="AH69" s="265"/>
      <c r="AI69" s="263">
        <f>1100+100</f>
        <v>1200</v>
      </c>
      <c r="AJ69" s="265"/>
      <c r="AK69" s="263">
        <f>1100+100</f>
        <v>1200</v>
      </c>
      <c r="AL69" s="265"/>
      <c r="AM69" s="263">
        <f>1100+100</f>
        <v>1200</v>
      </c>
      <c r="AN69" s="265"/>
      <c r="AO69" s="263">
        <f>1100+100</f>
        <v>1200</v>
      </c>
      <c r="AP69" s="265"/>
      <c r="AQ69" s="263">
        <f>1100+100</f>
        <v>1200</v>
      </c>
      <c r="AR69" s="265"/>
      <c r="AS69" s="263">
        <f>1100+100</f>
        <v>1200</v>
      </c>
      <c r="AT69" s="265"/>
      <c r="AU69" s="263">
        <f>1100+100</f>
        <v>1200</v>
      </c>
      <c r="AV69" s="265"/>
      <c r="AW69" s="266">
        <v>2500</v>
      </c>
      <c r="AX69" s="269" t="s">
        <v>171</v>
      </c>
      <c r="AY69" s="270"/>
    </row>
    <row r="70" spans="1:55" ht="15.75" thickBot="1" x14ac:dyDescent="0.3">
      <c r="A70" s="112"/>
      <c r="B70" s="271" t="s">
        <v>172</v>
      </c>
      <c r="C70" s="129">
        <v>7</v>
      </c>
      <c r="D70" s="96" t="s">
        <v>173</v>
      </c>
      <c r="E70" s="261">
        <f>2500-2000</f>
        <v>500</v>
      </c>
      <c r="F70" s="262"/>
      <c r="G70" s="263">
        <f>2500-2000</f>
        <v>500</v>
      </c>
      <c r="H70" s="264"/>
      <c r="I70" s="263">
        <f>2500-2000</f>
        <v>500</v>
      </c>
      <c r="J70" s="264"/>
      <c r="K70" s="263">
        <f>2500-2000</f>
        <v>500</v>
      </c>
      <c r="L70" s="264"/>
      <c r="M70" s="263">
        <f>2500-2000</f>
        <v>500</v>
      </c>
      <c r="N70" s="264"/>
      <c r="O70" s="263"/>
      <c r="P70" s="264"/>
      <c r="Q70" s="263">
        <v>18500</v>
      </c>
      <c r="R70" s="264"/>
      <c r="S70" s="130"/>
      <c r="T70" s="91" t="s">
        <v>174</v>
      </c>
      <c r="U70" s="263">
        <v>18500</v>
      </c>
      <c r="V70" s="264"/>
      <c r="W70" s="191">
        <f t="shared" si="6"/>
        <v>0</v>
      </c>
      <c r="X70" s="192"/>
      <c r="Y70" s="263">
        <v>18500</v>
      </c>
      <c r="Z70" s="264"/>
      <c r="AA70" s="263">
        <v>18500</v>
      </c>
      <c r="AB70" s="265"/>
      <c r="AC70" s="263">
        <v>18500</v>
      </c>
      <c r="AD70" s="265"/>
      <c r="AE70" s="263">
        <v>18500</v>
      </c>
      <c r="AF70" s="265"/>
      <c r="AG70" s="263">
        <v>18500</v>
      </c>
      <c r="AH70" s="265"/>
      <c r="AI70" s="263">
        <v>18500</v>
      </c>
      <c r="AJ70" s="265"/>
      <c r="AK70" s="263">
        <v>18500</v>
      </c>
      <c r="AL70" s="265"/>
      <c r="AM70" s="263">
        <v>18500</v>
      </c>
      <c r="AN70" s="265"/>
      <c r="AO70" s="263">
        <v>18500</v>
      </c>
      <c r="AP70" s="265"/>
      <c r="AQ70" s="263">
        <f>18500-200-200-250-2800-50</f>
        <v>15000</v>
      </c>
      <c r="AR70" s="265"/>
      <c r="AS70" s="263">
        <f>18500-200-200-250-2800-50</f>
        <v>15000</v>
      </c>
      <c r="AT70" s="265"/>
      <c r="AU70" s="263">
        <f>18500-200-200-250-2800-50</f>
        <v>15000</v>
      </c>
      <c r="AV70" s="265"/>
      <c r="AW70" s="266">
        <v>13500</v>
      </c>
      <c r="AX70" s="272"/>
      <c r="AY70" s="267"/>
    </row>
    <row r="71" spans="1:55" ht="15.75" thickBot="1" x14ac:dyDescent="0.3">
      <c r="A71" s="112"/>
      <c r="B71" s="260" t="s">
        <v>175</v>
      </c>
      <c r="C71" s="129">
        <v>8</v>
      </c>
      <c r="D71" s="96" t="s">
        <v>176</v>
      </c>
      <c r="E71" s="261">
        <v>0</v>
      </c>
      <c r="F71" s="262"/>
      <c r="G71" s="263">
        <v>325.5</v>
      </c>
      <c r="H71" s="264"/>
      <c r="I71" s="263">
        <v>325.5</v>
      </c>
      <c r="J71" s="264"/>
      <c r="K71" s="263">
        <v>325.5</v>
      </c>
      <c r="L71" s="264"/>
      <c r="M71" s="263">
        <v>325.5</v>
      </c>
      <c r="N71" s="264"/>
      <c r="O71" s="263"/>
      <c r="P71" s="264"/>
      <c r="Q71" s="263">
        <v>100</v>
      </c>
      <c r="R71" s="264"/>
      <c r="S71" s="130"/>
      <c r="T71" s="126" t="s">
        <v>177</v>
      </c>
      <c r="U71" s="263">
        <v>100</v>
      </c>
      <c r="V71" s="264"/>
      <c r="W71" s="191">
        <f t="shared" si="6"/>
        <v>0</v>
      </c>
      <c r="X71" s="192"/>
      <c r="Y71" s="263">
        <v>100</v>
      </c>
      <c r="Z71" s="264"/>
      <c r="AA71" s="263">
        <v>100</v>
      </c>
      <c r="AB71" s="265"/>
      <c r="AC71" s="263">
        <v>100</v>
      </c>
      <c r="AD71" s="265"/>
      <c r="AE71" s="263">
        <v>100</v>
      </c>
      <c r="AF71" s="265"/>
      <c r="AG71" s="263">
        <v>100</v>
      </c>
      <c r="AH71" s="265"/>
      <c r="AI71" s="263">
        <v>100</v>
      </c>
      <c r="AJ71" s="265"/>
      <c r="AK71" s="263">
        <v>100</v>
      </c>
      <c r="AL71" s="265"/>
      <c r="AM71" s="263">
        <v>100</v>
      </c>
      <c r="AN71" s="265"/>
      <c r="AO71" s="263">
        <v>100</v>
      </c>
      <c r="AP71" s="265"/>
      <c r="AQ71" s="263">
        <v>100</v>
      </c>
      <c r="AR71" s="265"/>
      <c r="AS71" s="263">
        <v>100</v>
      </c>
      <c r="AT71" s="265"/>
      <c r="AU71" s="263">
        <v>100</v>
      </c>
      <c r="AV71" s="265"/>
      <c r="AW71" s="266">
        <v>1100</v>
      </c>
      <c r="AX71" s="127" t="s">
        <v>164</v>
      </c>
      <c r="AY71" s="267"/>
    </row>
    <row r="72" spans="1:55" ht="15.75" thickBot="1" x14ac:dyDescent="0.3">
      <c r="A72" s="112"/>
      <c r="B72" s="260" t="s">
        <v>255</v>
      </c>
      <c r="C72" s="129">
        <v>9</v>
      </c>
      <c r="D72" s="96" t="s">
        <v>178</v>
      </c>
      <c r="E72" s="261">
        <v>0</v>
      </c>
      <c r="F72" s="262"/>
      <c r="G72" s="263">
        <v>286</v>
      </c>
      <c r="H72" s="264"/>
      <c r="I72" s="263">
        <v>286</v>
      </c>
      <c r="J72" s="264"/>
      <c r="K72" s="263">
        <v>286</v>
      </c>
      <c r="L72" s="264"/>
      <c r="M72" s="263">
        <v>286</v>
      </c>
      <c r="N72" s="264"/>
      <c r="O72" s="263"/>
      <c r="P72" s="264"/>
      <c r="Q72" s="263">
        <v>286</v>
      </c>
      <c r="R72" s="264"/>
      <c r="S72" s="130"/>
      <c r="T72" s="91"/>
      <c r="U72" s="263">
        <v>286</v>
      </c>
      <c r="V72" s="264"/>
      <c r="W72" s="191">
        <f t="shared" si="6"/>
        <v>0</v>
      </c>
      <c r="X72" s="192"/>
      <c r="Y72" s="263">
        <f>286+300</f>
        <v>586</v>
      </c>
      <c r="Z72" s="264"/>
      <c r="AA72" s="263">
        <f>286+300</f>
        <v>586</v>
      </c>
      <c r="AB72" s="265"/>
      <c r="AC72" s="263">
        <f>286+300</f>
        <v>586</v>
      </c>
      <c r="AD72" s="265"/>
      <c r="AE72" s="263">
        <f>286+300</f>
        <v>586</v>
      </c>
      <c r="AF72" s="265"/>
      <c r="AG72" s="263">
        <f>286+300</f>
        <v>586</v>
      </c>
      <c r="AH72" s="265"/>
      <c r="AI72" s="263">
        <f>286+300</f>
        <v>586</v>
      </c>
      <c r="AJ72" s="265"/>
      <c r="AK72" s="263">
        <f>286+300</f>
        <v>586</v>
      </c>
      <c r="AL72" s="265"/>
      <c r="AM72" s="263">
        <f>286+300</f>
        <v>586</v>
      </c>
      <c r="AN72" s="265"/>
      <c r="AO72" s="263">
        <f>286+300</f>
        <v>586</v>
      </c>
      <c r="AP72" s="265"/>
      <c r="AQ72" s="263">
        <f>286+300</f>
        <v>586</v>
      </c>
      <c r="AR72" s="265"/>
      <c r="AS72" s="263">
        <f>286+300</f>
        <v>586</v>
      </c>
      <c r="AT72" s="265"/>
      <c r="AU72" s="263">
        <f>286+300</f>
        <v>586</v>
      </c>
      <c r="AV72" s="265"/>
      <c r="AW72" s="266">
        <v>1600</v>
      </c>
      <c r="AX72" s="272"/>
      <c r="AY72" s="267"/>
    </row>
    <row r="73" spans="1:55" ht="15.75" thickBot="1" x14ac:dyDescent="0.3">
      <c r="A73" s="112"/>
      <c r="B73" s="260" t="s">
        <v>179</v>
      </c>
      <c r="C73" s="129">
        <v>10</v>
      </c>
      <c r="D73" s="96" t="s">
        <v>180</v>
      </c>
      <c r="E73" s="261">
        <v>400</v>
      </c>
      <c r="F73" s="262"/>
      <c r="G73" s="263">
        <v>180</v>
      </c>
      <c r="H73" s="264"/>
      <c r="I73" s="263">
        <v>180</v>
      </c>
      <c r="J73" s="264"/>
      <c r="K73" s="263">
        <v>180</v>
      </c>
      <c r="L73" s="264"/>
      <c r="M73" s="263">
        <v>180</v>
      </c>
      <c r="N73" s="264"/>
      <c r="O73" s="263"/>
      <c r="P73" s="264"/>
      <c r="Q73" s="263">
        <v>1000</v>
      </c>
      <c r="R73" s="264"/>
      <c r="S73" s="130"/>
      <c r="T73" s="91" t="s">
        <v>181</v>
      </c>
      <c r="U73" s="263">
        <v>1000</v>
      </c>
      <c r="V73" s="264"/>
      <c r="W73" s="191">
        <f t="shared" si="6"/>
        <v>0</v>
      </c>
      <c r="X73" s="192"/>
      <c r="Y73" s="263">
        <v>1000</v>
      </c>
      <c r="Z73" s="264"/>
      <c r="AA73" s="263">
        <v>1000</v>
      </c>
      <c r="AB73" s="265"/>
      <c r="AC73" s="263">
        <v>1000</v>
      </c>
      <c r="AD73" s="265"/>
      <c r="AE73" s="263">
        <v>1000</v>
      </c>
      <c r="AF73" s="265"/>
      <c r="AG73" s="263">
        <v>1000</v>
      </c>
      <c r="AH73" s="265"/>
      <c r="AI73" s="263">
        <v>1000</v>
      </c>
      <c r="AJ73" s="265"/>
      <c r="AK73" s="263">
        <v>1000</v>
      </c>
      <c r="AL73" s="265"/>
      <c r="AM73" s="263">
        <v>1000</v>
      </c>
      <c r="AN73" s="265"/>
      <c r="AO73" s="263">
        <v>1000</v>
      </c>
      <c r="AP73" s="265"/>
      <c r="AQ73" s="263">
        <v>1000</v>
      </c>
      <c r="AR73" s="265"/>
      <c r="AS73" s="263">
        <v>1000</v>
      </c>
      <c r="AT73" s="265"/>
      <c r="AU73" s="263">
        <v>1000</v>
      </c>
      <c r="AV73" s="265"/>
      <c r="AW73" s="266">
        <v>200</v>
      </c>
      <c r="AX73" s="272"/>
      <c r="AY73" s="267"/>
    </row>
    <row r="74" spans="1:55" ht="15.75" thickBot="1" x14ac:dyDescent="0.3">
      <c r="A74" s="112"/>
      <c r="B74" s="260" t="s">
        <v>182</v>
      </c>
      <c r="C74" s="129">
        <v>11</v>
      </c>
      <c r="D74" s="96" t="s">
        <v>183</v>
      </c>
      <c r="E74" s="261">
        <v>300</v>
      </c>
      <c r="F74" s="262"/>
      <c r="G74" s="263">
        <v>300</v>
      </c>
      <c r="H74" s="264"/>
      <c r="I74" s="263">
        <v>300</v>
      </c>
      <c r="J74" s="264"/>
      <c r="K74" s="263">
        <v>300</v>
      </c>
      <c r="L74" s="264"/>
      <c r="M74" s="263">
        <v>300</v>
      </c>
      <c r="N74" s="264"/>
      <c r="O74" s="263"/>
      <c r="P74" s="264"/>
      <c r="Q74" s="263">
        <v>300</v>
      </c>
      <c r="R74" s="264"/>
      <c r="S74" s="130"/>
      <c r="T74" s="91" t="s">
        <v>184</v>
      </c>
      <c r="U74" s="263">
        <v>300</v>
      </c>
      <c r="V74" s="264"/>
      <c r="W74" s="191">
        <f t="shared" si="6"/>
        <v>0</v>
      </c>
      <c r="X74" s="192"/>
      <c r="Y74" s="263">
        <v>300</v>
      </c>
      <c r="Z74" s="264"/>
      <c r="AA74" s="263">
        <v>300</v>
      </c>
      <c r="AB74" s="265"/>
      <c r="AC74" s="263">
        <v>300</v>
      </c>
      <c r="AD74" s="265"/>
      <c r="AE74" s="263">
        <v>300</v>
      </c>
      <c r="AF74" s="265"/>
      <c r="AG74" s="263">
        <v>300</v>
      </c>
      <c r="AH74" s="265"/>
      <c r="AI74" s="263">
        <f>300+137</f>
        <v>437</v>
      </c>
      <c r="AJ74" s="265"/>
      <c r="AK74" s="263">
        <f>300+137</f>
        <v>437</v>
      </c>
      <c r="AL74" s="265"/>
      <c r="AM74" s="263">
        <f>300+137</f>
        <v>437</v>
      </c>
      <c r="AN74" s="265"/>
      <c r="AO74" s="263">
        <f>300+137</f>
        <v>437</v>
      </c>
      <c r="AP74" s="265"/>
      <c r="AQ74" s="263">
        <f>300+137</f>
        <v>437</v>
      </c>
      <c r="AR74" s="265"/>
      <c r="AS74" s="263">
        <f>300+137</f>
        <v>437</v>
      </c>
      <c r="AT74" s="265"/>
      <c r="AU74" s="263">
        <f>300+137</f>
        <v>437</v>
      </c>
      <c r="AV74" s="265"/>
      <c r="AW74" s="266">
        <v>2000</v>
      </c>
      <c r="AX74" s="272"/>
      <c r="AY74" s="267"/>
    </row>
    <row r="75" spans="1:55" ht="15.75" thickBot="1" x14ac:dyDescent="0.3">
      <c r="A75" s="112"/>
      <c r="B75" s="260" t="s">
        <v>185</v>
      </c>
      <c r="C75" s="129">
        <v>13</v>
      </c>
      <c r="D75" s="96" t="s">
        <v>186</v>
      </c>
      <c r="E75" s="261"/>
      <c r="F75" s="262"/>
      <c r="G75" s="263"/>
      <c r="H75" s="264"/>
      <c r="I75" s="263"/>
      <c r="J75" s="264"/>
      <c r="K75" s="263"/>
      <c r="L75" s="264"/>
      <c r="M75" s="263"/>
      <c r="N75" s="264"/>
      <c r="O75" s="263"/>
      <c r="P75" s="264"/>
      <c r="Q75" s="263"/>
      <c r="R75" s="264"/>
      <c r="S75" s="130"/>
      <c r="T75" s="91"/>
      <c r="U75" s="263"/>
      <c r="V75" s="264"/>
      <c r="W75" s="191"/>
      <c r="X75" s="192"/>
      <c r="Y75" s="263"/>
      <c r="Z75" s="264"/>
      <c r="AA75" s="263"/>
      <c r="AB75" s="265"/>
      <c r="AC75" s="263"/>
      <c r="AD75" s="265"/>
      <c r="AE75" s="263"/>
      <c r="AF75" s="265"/>
      <c r="AG75" s="263"/>
      <c r="AH75" s="265"/>
      <c r="AI75" s="263"/>
      <c r="AJ75" s="265"/>
      <c r="AK75" s="263"/>
      <c r="AL75" s="265"/>
      <c r="AM75" s="263"/>
      <c r="AN75" s="265"/>
      <c r="AO75" s="263"/>
      <c r="AP75" s="265"/>
      <c r="AQ75" s="263"/>
      <c r="AR75" s="265"/>
      <c r="AS75" s="263"/>
      <c r="AT75" s="265"/>
      <c r="AU75" s="263"/>
      <c r="AV75" s="265"/>
      <c r="AW75" s="266">
        <v>8700</v>
      </c>
      <c r="AX75" s="272"/>
      <c r="AY75" s="267"/>
    </row>
    <row r="76" spans="1:55" ht="15.75" thickBot="1" x14ac:dyDescent="0.3">
      <c r="A76" s="112"/>
      <c r="B76" s="131"/>
      <c r="C76" s="129">
        <v>14</v>
      </c>
      <c r="D76" s="96" t="s">
        <v>187</v>
      </c>
      <c r="E76" s="261"/>
      <c r="F76" s="262"/>
      <c r="G76" s="263"/>
      <c r="H76" s="264"/>
      <c r="I76" s="263"/>
      <c r="J76" s="264"/>
      <c r="K76" s="263"/>
      <c r="L76" s="264"/>
      <c r="M76" s="263"/>
      <c r="N76" s="264"/>
      <c r="O76" s="263"/>
      <c r="P76" s="264"/>
      <c r="Q76" s="263">
        <v>150</v>
      </c>
      <c r="R76" s="264"/>
      <c r="S76" s="130"/>
      <c r="T76" s="91" t="s">
        <v>188</v>
      </c>
      <c r="U76" s="263">
        <v>150</v>
      </c>
      <c r="V76" s="264"/>
      <c r="W76" s="191">
        <f t="shared" si="6"/>
        <v>0</v>
      </c>
      <c r="X76" s="192"/>
      <c r="Y76" s="263">
        <f>150-100</f>
        <v>50</v>
      </c>
      <c r="Z76" s="264"/>
      <c r="AA76" s="263">
        <f>150-100</f>
        <v>50</v>
      </c>
      <c r="AB76" s="265"/>
      <c r="AC76" s="263">
        <f>150-100</f>
        <v>50</v>
      </c>
      <c r="AD76" s="265"/>
      <c r="AE76" s="263">
        <f>150-100</f>
        <v>50</v>
      </c>
      <c r="AF76" s="265"/>
      <c r="AG76" s="263">
        <f>150-100</f>
        <v>50</v>
      </c>
      <c r="AH76" s="265"/>
      <c r="AI76" s="263">
        <f>150-100</f>
        <v>50</v>
      </c>
      <c r="AJ76" s="265"/>
      <c r="AK76" s="263">
        <f>150-100</f>
        <v>50</v>
      </c>
      <c r="AL76" s="265"/>
      <c r="AM76" s="263">
        <f>150-100</f>
        <v>50</v>
      </c>
      <c r="AN76" s="265"/>
      <c r="AO76" s="263">
        <f>150-100</f>
        <v>50</v>
      </c>
      <c r="AP76" s="265"/>
      <c r="AQ76" s="263">
        <f>150-100</f>
        <v>50</v>
      </c>
      <c r="AR76" s="265"/>
      <c r="AS76" s="263">
        <f>150-100</f>
        <v>50</v>
      </c>
      <c r="AT76" s="265"/>
      <c r="AU76" s="263">
        <f>150-100</f>
        <v>50</v>
      </c>
      <c r="AV76" s="265"/>
      <c r="AW76" s="266">
        <v>400</v>
      </c>
      <c r="AX76" s="272"/>
      <c r="AY76" s="267"/>
    </row>
    <row r="77" spans="1:55" ht="15.75" thickBot="1" x14ac:dyDescent="0.3">
      <c r="A77" s="112"/>
      <c r="B77" s="260" t="s">
        <v>256</v>
      </c>
      <c r="C77" s="129">
        <v>15</v>
      </c>
      <c r="D77" s="96" t="s">
        <v>189</v>
      </c>
      <c r="E77" s="261">
        <v>1500</v>
      </c>
      <c r="F77" s="262"/>
      <c r="G77" s="263">
        <f>1500-250-325.5-286</f>
        <v>638.5</v>
      </c>
      <c r="H77" s="264"/>
      <c r="I77" s="263">
        <f>1500-250-325.5-286</f>
        <v>638.5</v>
      </c>
      <c r="J77" s="264"/>
      <c r="K77" s="263">
        <f>1500-250-325.5-286</f>
        <v>638.5</v>
      </c>
      <c r="L77" s="264"/>
      <c r="M77" s="263">
        <f>1500-250-325.5-286</f>
        <v>638.5</v>
      </c>
      <c r="N77" s="264"/>
      <c r="O77" s="263"/>
      <c r="P77" s="264"/>
      <c r="Q77" s="263">
        <v>500</v>
      </c>
      <c r="R77" s="264"/>
      <c r="S77" s="130"/>
      <c r="T77" s="91" t="s">
        <v>190</v>
      </c>
      <c r="U77" s="263">
        <v>500</v>
      </c>
      <c r="V77" s="264"/>
      <c r="W77" s="191">
        <f t="shared" si="6"/>
        <v>0</v>
      </c>
      <c r="X77" s="192"/>
      <c r="Y77" s="263">
        <v>500</v>
      </c>
      <c r="Z77" s="264"/>
      <c r="AA77" s="263">
        <v>500</v>
      </c>
      <c r="AB77" s="265"/>
      <c r="AC77" s="263">
        <v>500</v>
      </c>
      <c r="AD77" s="265"/>
      <c r="AE77" s="263">
        <v>500</v>
      </c>
      <c r="AF77" s="265"/>
      <c r="AG77" s="263">
        <v>500</v>
      </c>
      <c r="AH77" s="265"/>
      <c r="AI77" s="263">
        <v>500</v>
      </c>
      <c r="AJ77" s="265"/>
      <c r="AK77" s="263">
        <v>500</v>
      </c>
      <c r="AL77" s="265"/>
      <c r="AM77" s="263">
        <v>500</v>
      </c>
      <c r="AN77" s="265"/>
      <c r="AO77" s="263">
        <v>500</v>
      </c>
      <c r="AP77" s="265"/>
      <c r="AQ77" s="263">
        <v>500</v>
      </c>
      <c r="AR77" s="265"/>
      <c r="AS77" s="263">
        <v>500</v>
      </c>
      <c r="AT77" s="265"/>
      <c r="AU77" s="263">
        <v>500</v>
      </c>
      <c r="AV77" s="265"/>
      <c r="AW77" s="266">
        <v>600</v>
      </c>
      <c r="AX77" s="272"/>
      <c r="AY77" s="267"/>
    </row>
    <row r="78" spans="1:55" ht="15.75" thickBot="1" x14ac:dyDescent="0.3">
      <c r="A78" s="73"/>
      <c r="B78" s="132"/>
      <c r="C78" s="273"/>
      <c r="D78" s="274" t="s">
        <v>44</v>
      </c>
      <c r="E78" s="215"/>
      <c r="F78" s="232">
        <f>SUM(E64:E77)</f>
        <v>6700</v>
      </c>
      <c r="G78" s="217"/>
      <c r="H78" s="233">
        <f>SUM(G64:G77)</f>
        <v>6230</v>
      </c>
      <c r="I78" s="217"/>
      <c r="J78" s="233">
        <f>SUM(I64:I77)</f>
        <v>6230</v>
      </c>
      <c r="K78" s="217"/>
      <c r="L78" s="233">
        <f>SUM(K64:K77)</f>
        <v>6330</v>
      </c>
      <c r="M78" s="217"/>
      <c r="N78" s="233">
        <f>SUM(M64:M77)</f>
        <v>6330</v>
      </c>
      <c r="O78" s="217"/>
      <c r="P78" s="233">
        <v>21139.1</v>
      </c>
      <c r="Q78" s="217"/>
      <c r="R78" s="233">
        <f>SUM(Q64:Q77)</f>
        <v>35786</v>
      </c>
      <c r="S78" s="107">
        <f>R78-P78</f>
        <v>14646.900000000001</v>
      </c>
      <c r="T78" s="91"/>
      <c r="U78" s="217"/>
      <c r="V78" s="233">
        <f>SUM(U64:U77)</f>
        <v>35786</v>
      </c>
      <c r="W78" s="191"/>
      <c r="X78" s="192"/>
      <c r="Y78" s="217"/>
      <c r="Z78" s="233">
        <f>SUM(Y64:Y77)</f>
        <v>37186</v>
      </c>
      <c r="AA78" s="217"/>
      <c r="AB78" s="234">
        <f>SUM(AA64:AA77)</f>
        <v>37186</v>
      </c>
      <c r="AC78" s="217"/>
      <c r="AD78" s="234">
        <f>SUM(AC64:AC77)</f>
        <v>36486</v>
      </c>
      <c r="AE78" s="217"/>
      <c r="AF78" s="234">
        <f>SUM(AE64:AE77)</f>
        <v>36486</v>
      </c>
      <c r="AG78" s="217"/>
      <c r="AH78" s="234">
        <f>SUM(AG64:AG77)</f>
        <v>36486</v>
      </c>
      <c r="AI78" s="217"/>
      <c r="AJ78" s="234">
        <f>SUM(AI64:AI77)</f>
        <v>36875</v>
      </c>
      <c r="AK78" s="217"/>
      <c r="AL78" s="234">
        <f>SUM(AK64:AK77)</f>
        <v>36875</v>
      </c>
      <c r="AM78" s="217"/>
      <c r="AN78" s="234">
        <f>SUM(AM64:AM77)</f>
        <v>36875</v>
      </c>
      <c r="AO78" s="217"/>
      <c r="AP78" s="234">
        <f>SUM(AO64:AO77)</f>
        <v>37075</v>
      </c>
      <c r="AQ78" s="217"/>
      <c r="AR78" s="234">
        <f>SUM(AQ64:AQ77)</f>
        <v>33890</v>
      </c>
      <c r="AS78" s="217"/>
      <c r="AT78" s="234">
        <f>SUM(AS64:AS77)</f>
        <v>33890</v>
      </c>
      <c r="AU78" s="217"/>
      <c r="AV78" s="234">
        <f>SUM(AU64:AU77)</f>
        <v>33890</v>
      </c>
      <c r="AW78" s="220"/>
      <c r="AX78" s="235">
        <f>SUM(AW64:AW77)</f>
        <v>52850</v>
      </c>
      <c r="AZ78" s="275"/>
    </row>
    <row r="79" spans="1:55" ht="15.75" thickBot="1" x14ac:dyDescent="0.3">
      <c r="A79" s="40" t="s">
        <v>82</v>
      </c>
      <c r="B79" s="128" t="s">
        <v>191</v>
      </c>
      <c r="C79" s="128">
        <v>1</v>
      </c>
      <c r="D79" s="276" t="s">
        <v>192</v>
      </c>
      <c r="E79" s="196">
        <v>750</v>
      </c>
      <c r="F79" s="197"/>
      <c r="G79" s="198">
        <v>750</v>
      </c>
      <c r="H79" s="199"/>
      <c r="I79" s="198">
        <v>750</v>
      </c>
      <c r="J79" s="199"/>
      <c r="K79" s="45">
        <v>750</v>
      </c>
      <c r="L79" s="189"/>
      <c r="M79" s="45">
        <v>750</v>
      </c>
      <c r="N79" s="189"/>
      <c r="O79" s="45">
        <v>750</v>
      </c>
      <c r="P79" s="189"/>
      <c r="Q79" s="45">
        <v>750</v>
      </c>
      <c r="R79" s="189"/>
      <c r="S79" s="237"/>
      <c r="T79" s="91"/>
      <c r="U79" s="45">
        <v>750</v>
      </c>
      <c r="V79" s="189"/>
      <c r="W79" s="191">
        <f t="shared" ref="W79:W88" si="7">U79-Q79</f>
        <v>0</v>
      </c>
      <c r="X79" s="192"/>
      <c r="Y79" s="45">
        <v>750</v>
      </c>
      <c r="Z79" s="189"/>
      <c r="AA79" s="45">
        <v>750</v>
      </c>
      <c r="AB79" s="191"/>
      <c r="AC79" s="45">
        <v>750</v>
      </c>
      <c r="AD79" s="191"/>
      <c r="AE79" s="45">
        <v>750</v>
      </c>
      <c r="AF79" s="191"/>
      <c r="AG79" s="45">
        <v>750</v>
      </c>
      <c r="AH79" s="191"/>
      <c r="AI79" s="45">
        <v>750</v>
      </c>
      <c r="AJ79" s="191"/>
      <c r="AK79" s="45">
        <v>750</v>
      </c>
      <c r="AL79" s="191"/>
      <c r="AM79" s="45">
        <v>750</v>
      </c>
      <c r="AN79" s="191"/>
      <c r="AO79" s="45">
        <v>750</v>
      </c>
      <c r="AP79" s="191"/>
      <c r="AQ79" s="45">
        <v>750</v>
      </c>
      <c r="AR79" s="191"/>
      <c r="AS79" s="45">
        <v>750</v>
      </c>
      <c r="AT79" s="191"/>
      <c r="AU79" s="45">
        <v>750</v>
      </c>
      <c r="AV79" s="191"/>
      <c r="AW79" s="51">
        <v>3971.52</v>
      </c>
      <c r="AX79" s="193"/>
      <c r="AY79" s="277">
        <v>750</v>
      </c>
      <c r="AZ79" s="278"/>
      <c r="BA79" s="279">
        <f>AW79-AY79</f>
        <v>3221.52</v>
      </c>
      <c r="BB79" s="28"/>
      <c r="BC79" s="171"/>
    </row>
    <row r="80" spans="1:55" ht="15.75" thickBot="1" x14ac:dyDescent="0.3">
      <c r="A80" s="95"/>
      <c r="B80" s="214"/>
      <c r="C80" s="214">
        <f>+C79+1</f>
        <v>2</v>
      </c>
      <c r="D80" s="96" t="s">
        <v>193</v>
      </c>
      <c r="E80" s="205">
        <v>1300</v>
      </c>
      <c r="F80" s="206"/>
      <c r="G80" s="207">
        <v>1300</v>
      </c>
      <c r="H80" s="208"/>
      <c r="I80" s="207">
        <v>1300</v>
      </c>
      <c r="J80" s="208"/>
      <c r="K80" s="207">
        <f>1300+150</f>
        <v>1450</v>
      </c>
      <c r="L80" s="208"/>
      <c r="M80" s="207">
        <f>1300+150</f>
        <v>1450</v>
      </c>
      <c r="N80" s="208"/>
      <c r="O80" s="207">
        <f>1300+150+1850</f>
        <v>3300</v>
      </c>
      <c r="P80" s="208"/>
      <c r="Q80" s="207">
        <v>2500</v>
      </c>
      <c r="R80" s="208"/>
      <c r="S80" s="130"/>
      <c r="T80" s="91" t="s">
        <v>194</v>
      </c>
      <c r="U80" s="207">
        <f>2500-195</f>
        <v>2305</v>
      </c>
      <c r="V80" s="208"/>
      <c r="W80" s="191">
        <f t="shared" si="7"/>
        <v>-195</v>
      </c>
      <c r="X80" s="280" t="s">
        <v>195</v>
      </c>
      <c r="Y80" s="207">
        <f>2500-195</f>
        <v>2305</v>
      </c>
      <c r="Z80" s="208"/>
      <c r="AA80" s="207">
        <f>2500-195</f>
        <v>2305</v>
      </c>
      <c r="AB80" s="209"/>
      <c r="AC80" s="207">
        <f>2500-195</f>
        <v>2305</v>
      </c>
      <c r="AD80" s="209"/>
      <c r="AE80" s="207">
        <f>2500-195</f>
        <v>2305</v>
      </c>
      <c r="AF80" s="209"/>
      <c r="AG80" s="207">
        <f>2500-195-1.1</f>
        <v>2303.9</v>
      </c>
      <c r="AH80" s="209"/>
      <c r="AI80" s="207">
        <f>2500-195+50-1.1</f>
        <v>2353.9</v>
      </c>
      <c r="AJ80" s="209"/>
      <c r="AK80" s="207">
        <f>2500-195+50-1.1</f>
        <v>2353.9</v>
      </c>
      <c r="AL80" s="209"/>
      <c r="AM80" s="207">
        <f>2500-195+50-1.1-200-150</f>
        <v>2003.9</v>
      </c>
      <c r="AN80" s="209"/>
      <c r="AO80" s="207">
        <f>2500-195+50-1.1-200-150-250</f>
        <v>1753.9</v>
      </c>
      <c r="AP80" s="209"/>
      <c r="AQ80" s="207">
        <f>2500-195+50-1.1-200-150-250</f>
        <v>1753.9</v>
      </c>
      <c r="AR80" s="209"/>
      <c r="AS80" s="207">
        <f>2500-195+50-1.1-200-150-250+150</f>
        <v>1903.9</v>
      </c>
      <c r="AT80" s="209"/>
      <c r="AU80" s="207">
        <f>2500-195+50-1.1-200-150-250+150-200</f>
        <v>1703.9</v>
      </c>
      <c r="AV80" s="209"/>
      <c r="AW80" s="210">
        <v>2000</v>
      </c>
      <c r="AX80" s="211"/>
      <c r="AY80" s="277">
        <v>2500</v>
      </c>
      <c r="AZ80" s="278"/>
      <c r="BA80" s="279">
        <f t="shared" ref="BA80:BA88" si="8">AW80-AY80</f>
        <v>-500</v>
      </c>
      <c r="BB80" s="28"/>
      <c r="BC80" s="171"/>
    </row>
    <row r="81" spans="1:55" ht="15.75" thickBot="1" x14ac:dyDescent="0.3">
      <c r="A81" s="95"/>
      <c r="B81" s="214"/>
      <c r="C81" s="214">
        <f t="shared" ref="C81:C86" si="9">+C80+1</f>
        <v>3</v>
      </c>
      <c r="D81" s="96" t="s">
        <v>196</v>
      </c>
      <c r="E81" s="205">
        <v>200</v>
      </c>
      <c r="F81" s="206"/>
      <c r="G81" s="207">
        <v>200</v>
      </c>
      <c r="H81" s="208"/>
      <c r="I81" s="207">
        <v>200</v>
      </c>
      <c r="J81" s="208"/>
      <c r="K81" s="207">
        <v>200</v>
      </c>
      <c r="L81" s="208"/>
      <c r="M81" s="207">
        <v>200</v>
      </c>
      <c r="N81" s="208"/>
      <c r="O81" s="207">
        <v>200</v>
      </c>
      <c r="P81" s="208"/>
      <c r="Q81" s="207">
        <v>200</v>
      </c>
      <c r="R81" s="208"/>
      <c r="S81" s="130"/>
      <c r="T81" s="91"/>
      <c r="U81" s="207">
        <v>200</v>
      </c>
      <c r="V81" s="208"/>
      <c r="W81" s="191">
        <f t="shared" si="7"/>
        <v>0</v>
      </c>
      <c r="X81" s="192"/>
      <c r="Y81" s="207">
        <v>200</v>
      </c>
      <c r="Z81" s="208"/>
      <c r="AA81" s="207">
        <v>200</v>
      </c>
      <c r="AB81" s="209"/>
      <c r="AC81" s="207">
        <v>200</v>
      </c>
      <c r="AD81" s="209"/>
      <c r="AE81" s="207">
        <v>200</v>
      </c>
      <c r="AF81" s="209"/>
      <c r="AG81" s="207">
        <v>200</v>
      </c>
      <c r="AH81" s="209"/>
      <c r="AI81" s="207">
        <v>200</v>
      </c>
      <c r="AJ81" s="209"/>
      <c r="AK81" s="207">
        <v>200</v>
      </c>
      <c r="AL81" s="209"/>
      <c r="AM81" s="207">
        <v>200</v>
      </c>
      <c r="AN81" s="209"/>
      <c r="AO81" s="207">
        <v>200</v>
      </c>
      <c r="AP81" s="209"/>
      <c r="AQ81" s="207">
        <v>200</v>
      </c>
      <c r="AR81" s="209"/>
      <c r="AS81" s="207">
        <v>200</v>
      </c>
      <c r="AT81" s="209"/>
      <c r="AU81" s="207">
        <v>200</v>
      </c>
      <c r="AV81" s="209"/>
      <c r="AW81" s="210">
        <v>200</v>
      </c>
      <c r="AX81" s="211"/>
      <c r="AY81" s="277">
        <v>200</v>
      </c>
      <c r="AZ81" s="278"/>
      <c r="BA81" s="279">
        <f t="shared" si="8"/>
        <v>0</v>
      </c>
      <c r="BB81" s="28"/>
      <c r="BC81" s="171"/>
    </row>
    <row r="82" spans="1:55" ht="15.75" thickBot="1" x14ac:dyDescent="0.3">
      <c r="A82" s="95"/>
      <c r="B82" s="214"/>
      <c r="C82" s="214">
        <f t="shared" si="9"/>
        <v>4</v>
      </c>
      <c r="D82" s="96" t="s">
        <v>197</v>
      </c>
      <c r="E82" s="205">
        <v>550</v>
      </c>
      <c r="F82" s="206"/>
      <c r="G82" s="207">
        <v>550</v>
      </c>
      <c r="H82" s="208"/>
      <c r="I82" s="207">
        <f>550</f>
        <v>550</v>
      </c>
      <c r="J82" s="208"/>
      <c r="K82" s="207">
        <f>550</f>
        <v>550</v>
      </c>
      <c r="L82" s="208"/>
      <c r="M82" s="207">
        <f>550</f>
        <v>550</v>
      </c>
      <c r="N82" s="208"/>
      <c r="O82" s="207">
        <f>550</f>
        <v>550</v>
      </c>
      <c r="P82" s="208"/>
      <c r="Q82" s="207">
        <f>550</f>
        <v>550</v>
      </c>
      <c r="R82" s="208"/>
      <c r="S82" s="130"/>
      <c r="T82" s="126"/>
      <c r="U82" s="207">
        <f>550</f>
        <v>550</v>
      </c>
      <c r="V82" s="208"/>
      <c r="W82" s="191">
        <f t="shared" si="7"/>
        <v>0</v>
      </c>
      <c r="X82" s="192"/>
      <c r="Y82" s="207">
        <f>550</f>
        <v>550</v>
      </c>
      <c r="Z82" s="208"/>
      <c r="AA82" s="207">
        <f>550</f>
        <v>550</v>
      </c>
      <c r="AB82" s="209"/>
      <c r="AC82" s="207">
        <f>550</f>
        <v>550</v>
      </c>
      <c r="AD82" s="209"/>
      <c r="AE82" s="207">
        <f>550</f>
        <v>550</v>
      </c>
      <c r="AF82" s="209"/>
      <c r="AG82" s="207">
        <f>550</f>
        <v>550</v>
      </c>
      <c r="AH82" s="209"/>
      <c r="AI82" s="207">
        <f>550</f>
        <v>550</v>
      </c>
      <c r="AJ82" s="209"/>
      <c r="AK82" s="207">
        <f>550</f>
        <v>550</v>
      </c>
      <c r="AL82" s="209"/>
      <c r="AM82" s="207">
        <f>550</f>
        <v>550</v>
      </c>
      <c r="AN82" s="209"/>
      <c r="AO82" s="207">
        <f>550</f>
        <v>550</v>
      </c>
      <c r="AP82" s="209"/>
      <c r="AQ82" s="207">
        <f>550</f>
        <v>550</v>
      </c>
      <c r="AR82" s="209"/>
      <c r="AS82" s="207">
        <f>550</f>
        <v>550</v>
      </c>
      <c r="AT82" s="209"/>
      <c r="AU82" s="207">
        <f>550</f>
        <v>550</v>
      </c>
      <c r="AV82" s="209"/>
      <c r="AW82" s="210">
        <v>550</v>
      </c>
      <c r="AX82" s="211"/>
      <c r="AY82" s="277">
        <f>550</f>
        <v>550</v>
      </c>
      <c r="AZ82" s="278"/>
      <c r="BA82" s="279">
        <f t="shared" si="8"/>
        <v>0</v>
      </c>
      <c r="BB82" s="28"/>
      <c r="BC82" s="171"/>
    </row>
    <row r="83" spans="1:55" ht="15.75" thickBot="1" x14ac:dyDescent="0.3">
      <c r="A83" s="95"/>
      <c r="B83" s="214"/>
      <c r="C83" s="214">
        <f t="shared" si="9"/>
        <v>5</v>
      </c>
      <c r="D83" s="96" t="s">
        <v>198</v>
      </c>
      <c r="E83" s="205">
        <v>3780</v>
      </c>
      <c r="F83" s="206"/>
      <c r="G83" s="207">
        <v>3780</v>
      </c>
      <c r="H83" s="208"/>
      <c r="I83" s="207">
        <v>3780</v>
      </c>
      <c r="J83" s="208"/>
      <c r="K83" s="207">
        <v>3780</v>
      </c>
      <c r="L83" s="208"/>
      <c r="M83" s="207">
        <v>3780</v>
      </c>
      <c r="N83" s="208"/>
      <c r="O83" s="207">
        <v>3780</v>
      </c>
      <c r="P83" s="208"/>
      <c r="Q83" s="207">
        <v>3780</v>
      </c>
      <c r="R83" s="208"/>
      <c r="S83" s="130"/>
      <c r="T83" s="91"/>
      <c r="U83" s="207">
        <v>3780</v>
      </c>
      <c r="V83" s="208"/>
      <c r="W83" s="191">
        <f t="shared" si="7"/>
        <v>0</v>
      </c>
      <c r="X83" s="192"/>
      <c r="Y83" s="207">
        <v>3780</v>
      </c>
      <c r="Z83" s="208"/>
      <c r="AA83" s="207">
        <v>3780</v>
      </c>
      <c r="AB83" s="209"/>
      <c r="AC83" s="207">
        <v>3780</v>
      </c>
      <c r="AD83" s="209"/>
      <c r="AE83" s="207">
        <v>3780</v>
      </c>
      <c r="AF83" s="209"/>
      <c r="AG83" s="207">
        <v>3780</v>
      </c>
      <c r="AH83" s="209"/>
      <c r="AI83" s="207">
        <f>3780+40</f>
        <v>3820</v>
      </c>
      <c r="AJ83" s="209"/>
      <c r="AK83" s="207">
        <f>3780+40</f>
        <v>3820</v>
      </c>
      <c r="AL83" s="209"/>
      <c r="AM83" s="207">
        <f>3780+40</f>
        <v>3820</v>
      </c>
      <c r="AN83" s="209"/>
      <c r="AO83" s="207">
        <f>3780+40</f>
        <v>3820</v>
      </c>
      <c r="AP83" s="209"/>
      <c r="AQ83" s="207">
        <f>3780+40</f>
        <v>3820</v>
      </c>
      <c r="AR83" s="209"/>
      <c r="AS83" s="207">
        <f>3780+40</f>
        <v>3820</v>
      </c>
      <c r="AT83" s="209"/>
      <c r="AU83" s="207">
        <f>3780+40+200</f>
        <v>4020</v>
      </c>
      <c r="AV83" s="209"/>
      <c r="AW83" s="210">
        <v>4300</v>
      </c>
      <c r="AX83" s="125" t="s">
        <v>199</v>
      </c>
      <c r="AY83" s="277">
        <v>3780</v>
      </c>
      <c r="AZ83" s="278"/>
      <c r="BA83" s="279">
        <f t="shared" si="8"/>
        <v>520</v>
      </c>
      <c r="BB83" s="28"/>
      <c r="BC83" s="171"/>
    </row>
    <row r="84" spans="1:55" ht="15.75" thickBot="1" x14ac:dyDescent="0.3">
      <c r="A84" s="95"/>
      <c r="B84" s="214"/>
      <c r="C84" s="214">
        <f t="shared" si="9"/>
        <v>6</v>
      </c>
      <c r="D84" s="96" t="s">
        <v>200</v>
      </c>
      <c r="E84" s="205">
        <v>2010</v>
      </c>
      <c r="F84" s="206"/>
      <c r="G84" s="207">
        <v>2010</v>
      </c>
      <c r="H84" s="208"/>
      <c r="I84" s="207">
        <f>2010+400</f>
        <v>2410</v>
      </c>
      <c r="J84" s="208"/>
      <c r="K84" s="207">
        <f>2010+400</f>
        <v>2410</v>
      </c>
      <c r="L84" s="208"/>
      <c r="M84" s="207">
        <f>2010+400</f>
        <v>2410</v>
      </c>
      <c r="N84" s="208"/>
      <c r="O84" s="207">
        <f>2010+400+50</f>
        <v>2460</v>
      </c>
      <c r="P84" s="208"/>
      <c r="Q84" s="207">
        <f>2165</f>
        <v>2165</v>
      </c>
      <c r="R84" s="208"/>
      <c r="S84" s="47"/>
      <c r="T84" s="126" t="s">
        <v>201</v>
      </c>
      <c r="U84" s="207">
        <f>2165</f>
        <v>2165</v>
      </c>
      <c r="V84" s="208"/>
      <c r="W84" s="191">
        <f t="shared" si="7"/>
        <v>0</v>
      </c>
      <c r="X84" s="192"/>
      <c r="Y84" s="207">
        <f>2165</f>
        <v>2165</v>
      </c>
      <c r="Z84" s="208"/>
      <c r="AA84" s="207">
        <f>2165</f>
        <v>2165</v>
      </c>
      <c r="AB84" s="209"/>
      <c r="AC84" s="207">
        <f>2165</f>
        <v>2165</v>
      </c>
      <c r="AD84" s="209"/>
      <c r="AE84" s="207">
        <f>2165+201.2604</f>
        <v>2366.2604000000001</v>
      </c>
      <c r="AF84" s="209"/>
      <c r="AG84" s="207">
        <f>2165+201.2604</f>
        <v>2366.2604000000001</v>
      </c>
      <c r="AH84" s="209"/>
      <c r="AI84" s="207">
        <f>2165+201.2604</f>
        <v>2366.2604000000001</v>
      </c>
      <c r="AJ84" s="209"/>
      <c r="AK84" s="207">
        <f>2165+201.2604+131.359</f>
        <v>2497.6194</v>
      </c>
      <c r="AL84" s="209"/>
      <c r="AM84" s="207">
        <f>2165+201.2604+131.359</f>
        <v>2497.6194</v>
      </c>
      <c r="AN84" s="209"/>
      <c r="AO84" s="207">
        <f>2165+201.2604+131.359</f>
        <v>2497.6194</v>
      </c>
      <c r="AP84" s="209"/>
      <c r="AQ84" s="207">
        <f>2165+201.2604+131.359</f>
        <v>2497.6194</v>
      </c>
      <c r="AR84" s="209"/>
      <c r="AS84" s="207">
        <f>2165+201.2604+131.359</f>
        <v>2497.6194</v>
      </c>
      <c r="AT84" s="209"/>
      <c r="AU84" s="207">
        <f>2165+201.2604+131.359+240.358</f>
        <v>2737.9774000000002</v>
      </c>
      <c r="AV84" s="209"/>
      <c r="AW84" s="210">
        <v>2760</v>
      </c>
      <c r="AX84" s="211"/>
      <c r="AY84" s="277">
        <f>2165</f>
        <v>2165</v>
      </c>
      <c r="AZ84" s="278"/>
      <c r="BA84" s="279">
        <f t="shared" si="8"/>
        <v>595</v>
      </c>
      <c r="BB84" s="28"/>
      <c r="BC84" s="171"/>
    </row>
    <row r="85" spans="1:55" ht="15.75" thickBot="1" x14ac:dyDescent="0.3">
      <c r="A85" s="95"/>
      <c r="B85" s="214"/>
      <c r="C85" s="214">
        <f t="shared" si="9"/>
        <v>7</v>
      </c>
      <c r="D85" s="96" t="s">
        <v>202</v>
      </c>
      <c r="E85" s="205">
        <v>2200</v>
      </c>
      <c r="F85" s="206"/>
      <c r="G85" s="207">
        <v>2200</v>
      </c>
      <c r="H85" s="208"/>
      <c r="I85" s="207">
        <v>2200</v>
      </c>
      <c r="J85" s="208"/>
      <c r="K85" s="207">
        <f>2200+200</f>
        <v>2400</v>
      </c>
      <c r="L85" s="208"/>
      <c r="M85" s="207">
        <f>2200+200</f>
        <v>2400</v>
      </c>
      <c r="N85" s="208"/>
      <c r="O85" s="207">
        <f>2200+200</f>
        <v>2400</v>
      </c>
      <c r="P85" s="208"/>
      <c r="Q85" s="207">
        <v>2600</v>
      </c>
      <c r="R85" s="208"/>
      <c r="S85" s="47"/>
      <c r="T85" s="91" t="s">
        <v>203</v>
      </c>
      <c r="U85" s="207">
        <f>2600+230</f>
        <v>2830</v>
      </c>
      <c r="V85" s="208"/>
      <c r="W85" s="191">
        <f t="shared" si="7"/>
        <v>230</v>
      </c>
      <c r="X85" s="280" t="s">
        <v>204</v>
      </c>
      <c r="Y85" s="207">
        <f>2600+230</f>
        <v>2830</v>
      </c>
      <c r="Z85" s="208"/>
      <c r="AA85" s="207">
        <f>2600+230</f>
        <v>2830</v>
      </c>
      <c r="AB85" s="209"/>
      <c r="AC85" s="207">
        <f>2600+230</f>
        <v>2830</v>
      </c>
      <c r="AD85" s="209"/>
      <c r="AE85" s="207">
        <f>2600+230</f>
        <v>2830</v>
      </c>
      <c r="AF85" s="209"/>
      <c r="AG85" s="207">
        <f>2600+230</f>
        <v>2830</v>
      </c>
      <c r="AH85" s="209"/>
      <c r="AI85" s="207">
        <f>2600+230</f>
        <v>2830</v>
      </c>
      <c r="AJ85" s="209"/>
      <c r="AK85" s="207">
        <f>2600+230</f>
        <v>2830</v>
      </c>
      <c r="AL85" s="209"/>
      <c r="AM85" s="207">
        <f>2600+230</f>
        <v>2830</v>
      </c>
      <c r="AN85" s="209"/>
      <c r="AO85" s="207">
        <f>2600+230</f>
        <v>2830</v>
      </c>
      <c r="AP85" s="209"/>
      <c r="AQ85" s="207">
        <f>2600+230</f>
        <v>2830</v>
      </c>
      <c r="AR85" s="209"/>
      <c r="AS85" s="207">
        <f>2600+230</f>
        <v>2830</v>
      </c>
      <c r="AT85" s="209"/>
      <c r="AU85" s="207">
        <f>2600+230</f>
        <v>2830</v>
      </c>
      <c r="AV85" s="209"/>
      <c r="AW85" s="210">
        <v>2900</v>
      </c>
      <c r="AX85" s="125" t="s">
        <v>205</v>
      </c>
      <c r="AY85" s="277">
        <v>2600</v>
      </c>
      <c r="AZ85" s="278"/>
      <c r="BA85" s="279">
        <f t="shared" si="8"/>
        <v>300</v>
      </c>
      <c r="BB85" s="28"/>
      <c r="BC85" s="171"/>
    </row>
    <row r="86" spans="1:55" ht="15.75" thickBot="1" x14ac:dyDescent="0.3">
      <c r="A86" s="95"/>
      <c r="B86" s="281"/>
      <c r="C86" s="214">
        <f t="shared" si="9"/>
        <v>8</v>
      </c>
      <c r="D86" s="96" t="s">
        <v>206</v>
      </c>
      <c r="E86" s="205">
        <v>650</v>
      </c>
      <c r="F86" s="206"/>
      <c r="G86" s="207">
        <v>650</v>
      </c>
      <c r="H86" s="208"/>
      <c r="I86" s="207">
        <f>650+13.5</f>
        <v>663.5</v>
      </c>
      <c r="J86" s="208"/>
      <c r="K86" s="207">
        <f>650+13.5</f>
        <v>663.5</v>
      </c>
      <c r="L86" s="208"/>
      <c r="M86" s="207">
        <f>650+13.5+6</f>
        <v>669.5</v>
      </c>
      <c r="N86" s="208"/>
      <c r="O86" s="207">
        <f>650+13.5+6+10+31.6</f>
        <v>711.1</v>
      </c>
      <c r="P86" s="208"/>
      <c r="Q86" s="207">
        <v>650</v>
      </c>
      <c r="R86" s="208"/>
      <c r="S86" s="47"/>
      <c r="T86" s="91" t="s">
        <v>122</v>
      </c>
      <c r="U86" s="207">
        <v>650</v>
      </c>
      <c r="V86" s="208"/>
      <c r="W86" s="191">
        <f t="shared" si="7"/>
        <v>0</v>
      </c>
      <c r="X86" s="192"/>
      <c r="Y86" s="207">
        <v>650</v>
      </c>
      <c r="Z86" s="208"/>
      <c r="AA86" s="207">
        <v>650</v>
      </c>
      <c r="AB86" s="209"/>
      <c r="AC86" s="207">
        <v>650</v>
      </c>
      <c r="AD86" s="209"/>
      <c r="AE86" s="207">
        <v>650</v>
      </c>
      <c r="AF86" s="209"/>
      <c r="AG86" s="207">
        <v>650</v>
      </c>
      <c r="AH86" s="209"/>
      <c r="AI86" s="207">
        <v>650</v>
      </c>
      <c r="AJ86" s="209"/>
      <c r="AK86" s="207">
        <v>650</v>
      </c>
      <c r="AL86" s="209"/>
      <c r="AM86" s="207">
        <v>650</v>
      </c>
      <c r="AN86" s="209"/>
      <c r="AO86" s="207">
        <v>650</v>
      </c>
      <c r="AP86" s="209"/>
      <c r="AQ86" s="207">
        <v>650</v>
      </c>
      <c r="AR86" s="209"/>
      <c r="AS86" s="207">
        <v>650</v>
      </c>
      <c r="AT86" s="209"/>
      <c r="AU86" s="207">
        <v>650</v>
      </c>
      <c r="AV86" s="209"/>
      <c r="AW86" s="210">
        <v>650</v>
      </c>
      <c r="AX86" s="211"/>
      <c r="AY86" s="277">
        <v>650</v>
      </c>
      <c r="AZ86" s="282"/>
      <c r="BA86" s="279">
        <f t="shared" si="8"/>
        <v>0</v>
      </c>
      <c r="BB86" s="28"/>
    </row>
    <row r="87" spans="1:55" ht="15.75" thickBot="1" x14ac:dyDescent="0.3">
      <c r="A87" s="112"/>
      <c r="B87" s="131"/>
      <c r="C87" s="214">
        <v>9</v>
      </c>
      <c r="D87" s="114" t="s">
        <v>207</v>
      </c>
      <c r="E87" s="261">
        <v>200</v>
      </c>
      <c r="F87" s="262"/>
      <c r="G87" s="263">
        <v>200</v>
      </c>
      <c r="H87" s="264"/>
      <c r="I87" s="263">
        <v>200</v>
      </c>
      <c r="J87" s="264"/>
      <c r="K87" s="263">
        <v>200</v>
      </c>
      <c r="L87" s="264"/>
      <c r="M87" s="263">
        <v>200</v>
      </c>
      <c r="N87" s="264"/>
      <c r="O87" s="263">
        <v>200</v>
      </c>
      <c r="P87" s="264"/>
      <c r="Q87" s="263">
        <v>200</v>
      </c>
      <c r="R87" s="264"/>
      <c r="S87" s="47"/>
      <c r="T87" s="91"/>
      <c r="U87" s="263">
        <v>200</v>
      </c>
      <c r="V87" s="264"/>
      <c r="W87" s="191">
        <f t="shared" si="7"/>
        <v>0</v>
      </c>
      <c r="X87" s="192"/>
      <c r="Y87" s="263">
        <v>200</v>
      </c>
      <c r="Z87" s="264"/>
      <c r="AA87" s="263">
        <f>200-35-3-7-3</f>
        <v>152</v>
      </c>
      <c r="AB87" s="265"/>
      <c r="AC87" s="263">
        <f>200-35-3-7-3</f>
        <v>152</v>
      </c>
      <c r="AD87" s="265"/>
      <c r="AE87" s="263">
        <f>200-35-3-7-3</f>
        <v>152</v>
      </c>
      <c r="AF87" s="265"/>
      <c r="AG87" s="263">
        <f>200-35-3-7-3</f>
        <v>152</v>
      </c>
      <c r="AH87" s="265"/>
      <c r="AI87" s="263">
        <f>200-35-3-7-3</f>
        <v>152</v>
      </c>
      <c r="AJ87" s="265"/>
      <c r="AK87" s="263">
        <f>200-35-3-7-3</f>
        <v>152</v>
      </c>
      <c r="AL87" s="265"/>
      <c r="AM87" s="263">
        <f>200-35-3-7-3</f>
        <v>152</v>
      </c>
      <c r="AN87" s="265"/>
      <c r="AO87" s="263">
        <f>200-35-3-7-3</f>
        <v>152</v>
      </c>
      <c r="AP87" s="265"/>
      <c r="AQ87" s="263">
        <f>200-35-3-7-3</f>
        <v>152</v>
      </c>
      <c r="AR87" s="265"/>
      <c r="AS87" s="263">
        <f>200-35-3-7-3</f>
        <v>152</v>
      </c>
      <c r="AT87" s="265"/>
      <c r="AU87" s="263">
        <f>200-35-3-7-3</f>
        <v>152</v>
      </c>
      <c r="AV87" s="265"/>
      <c r="AW87" s="266">
        <v>150</v>
      </c>
      <c r="AX87" s="272"/>
      <c r="AY87" s="277">
        <v>200</v>
      </c>
      <c r="AZ87" s="282"/>
      <c r="BA87" s="279">
        <f t="shared" si="8"/>
        <v>-50</v>
      </c>
      <c r="BB87" s="28"/>
    </row>
    <row r="88" spans="1:55" ht="15.75" thickBot="1" x14ac:dyDescent="0.3">
      <c r="A88" s="112"/>
      <c r="B88" s="131"/>
      <c r="C88" s="214">
        <v>10</v>
      </c>
      <c r="D88" s="114" t="s">
        <v>208</v>
      </c>
      <c r="E88" s="261">
        <v>500</v>
      </c>
      <c r="F88" s="262"/>
      <c r="G88" s="263">
        <f>500+210</f>
        <v>710</v>
      </c>
      <c r="H88" s="264"/>
      <c r="I88" s="263">
        <f>500+210</f>
        <v>710</v>
      </c>
      <c r="J88" s="264"/>
      <c r="K88" s="263">
        <f>500+210</f>
        <v>710</v>
      </c>
      <c r="L88" s="264"/>
      <c r="M88" s="263">
        <f>500+210</f>
        <v>710</v>
      </c>
      <c r="N88" s="264"/>
      <c r="O88" s="263">
        <f>500+210</f>
        <v>710</v>
      </c>
      <c r="P88" s="264"/>
      <c r="Q88" s="263">
        <v>700</v>
      </c>
      <c r="R88" s="264"/>
      <c r="S88" s="47"/>
      <c r="T88" s="91" t="s">
        <v>209</v>
      </c>
      <c r="U88" s="263">
        <v>700</v>
      </c>
      <c r="V88" s="264"/>
      <c r="W88" s="191">
        <f t="shared" si="7"/>
        <v>0</v>
      </c>
      <c r="X88" s="192"/>
      <c r="Y88" s="263">
        <v>700</v>
      </c>
      <c r="Z88" s="264"/>
      <c r="AA88" s="263">
        <v>700</v>
      </c>
      <c r="AB88" s="265"/>
      <c r="AC88" s="263">
        <v>700</v>
      </c>
      <c r="AD88" s="265"/>
      <c r="AE88" s="263">
        <v>700</v>
      </c>
      <c r="AF88" s="265"/>
      <c r="AG88" s="263">
        <v>700</v>
      </c>
      <c r="AH88" s="265"/>
      <c r="AI88" s="263">
        <f>700+70</f>
        <v>770</v>
      </c>
      <c r="AJ88" s="265"/>
      <c r="AK88" s="263">
        <f>700+70</f>
        <v>770</v>
      </c>
      <c r="AL88" s="265"/>
      <c r="AM88" s="263">
        <f>700+70</f>
        <v>770</v>
      </c>
      <c r="AN88" s="265"/>
      <c r="AO88" s="263">
        <f>700+70</f>
        <v>770</v>
      </c>
      <c r="AP88" s="265"/>
      <c r="AQ88" s="263">
        <f>700+70</f>
        <v>770</v>
      </c>
      <c r="AR88" s="265"/>
      <c r="AS88" s="263">
        <f>700+70</f>
        <v>770</v>
      </c>
      <c r="AT88" s="265"/>
      <c r="AU88" s="263">
        <f>700+70</f>
        <v>770</v>
      </c>
      <c r="AV88" s="265"/>
      <c r="AW88" s="266">
        <v>720</v>
      </c>
      <c r="AX88" s="272"/>
      <c r="AY88" s="277">
        <v>700</v>
      </c>
      <c r="AZ88" s="283"/>
      <c r="BA88" s="279">
        <f t="shared" si="8"/>
        <v>20</v>
      </c>
      <c r="BB88" s="279"/>
    </row>
    <row r="89" spans="1:55" ht="15.75" thickBot="1" x14ac:dyDescent="0.3">
      <c r="A89" s="112"/>
      <c r="B89" s="131"/>
      <c r="C89" s="131">
        <v>11</v>
      </c>
      <c r="D89" s="114" t="s">
        <v>210</v>
      </c>
      <c r="E89" s="261"/>
      <c r="F89" s="262"/>
      <c r="G89" s="263"/>
      <c r="H89" s="264"/>
      <c r="I89" s="263"/>
      <c r="J89" s="264"/>
      <c r="K89" s="263"/>
      <c r="L89" s="264"/>
      <c r="M89" s="263"/>
      <c r="N89" s="264"/>
      <c r="O89" s="263"/>
      <c r="P89" s="264"/>
      <c r="Q89" s="263"/>
      <c r="R89" s="264"/>
      <c r="S89" s="47"/>
      <c r="T89" s="91"/>
      <c r="U89" s="263"/>
      <c r="V89" s="264"/>
      <c r="W89" s="191"/>
      <c r="X89" s="192"/>
      <c r="Y89" s="263">
        <v>0</v>
      </c>
      <c r="Z89" s="264"/>
      <c r="AA89" s="263">
        <v>7</v>
      </c>
      <c r="AB89" s="265"/>
      <c r="AC89" s="263">
        <v>7</v>
      </c>
      <c r="AD89" s="265"/>
      <c r="AE89" s="263">
        <f>7</f>
        <v>7</v>
      </c>
      <c r="AF89" s="265"/>
      <c r="AG89" s="263">
        <f>7</f>
        <v>7</v>
      </c>
      <c r="AH89" s="265"/>
      <c r="AI89" s="263">
        <f>7+70</f>
        <v>77</v>
      </c>
      <c r="AJ89" s="265"/>
      <c r="AK89" s="263">
        <f>7+70</f>
        <v>77</v>
      </c>
      <c r="AL89" s="265"/>
      <c r="AM89" s="263">
        <f>7+70</f>
        <v>77</v>
      </c>
      <c r="AN89" s="265"/>
      <c r="AO89" s="263">
        <f>7+70</f>
        <v>77</v>
      </c>
      <c r="AP89" s="265"/>
      <c r="AQ89" s="263">
        <f>7+70-70</f>
        <v>7</v>
      </c>
      <c r="AR89" s="265"/>
      <c r="AS89" s="263">
        <f>7+70-70</f>
        <v>7</v>
      </c>
      <c r="AT89" s="265"/>
      <c r="AU89" s="263">
        <f>7+70-70</f>
        <v>7</v>
      </c>
      <c r="AV89" s="265"/>
      <c r="AW89" s="266">
        <v>153.608</v>
      </c>
      <c r="AX89" s="272"/>
      <c r="AY89" s="284"/>
    </row>
    <row r="90" spans="1:55" ht="15.75" thickBot="1" x14ac:dyDescent="0.3">
      <c r="A90" s="112"/>
      <c r="B90" s="131"/>
      <c r="C90" s="131">
        <v>12</v>
      </c>
      <c r="D90" s="114" t="s">
        <v>211</v>
      </c>
      <c r="E90" s="261"/>
      <c r="F90" s="262"/>
      <c r="G90" s="263"/>
      <c r="H90" s="264"/>
      <c r="I90" s="263"/>
      <c r="J90" s="264"/>
      <c r="K90" s="263"/>
      <c r="L90" s="264"/>
      <c r="M90" s="263"/>
      <c r="N90" s="264"/>
      <c r="O90" s="263"/>
      <c r="P90" s="264"/>
      <c r="Q90" s="263"/>
      <c r="R90" s="264"/>
      <c r="S90" s="47"/>
      <c r="T90" s="91"/>
      <c r="U90" s="263"/>
      <c r="V90" s="264"/>
      <c r="W90" s="191"/>
      <c r="X90" s="192"/>
      <c r="Y90" s="263"/>
      <c r="Z90" s="264"/>
      <c r="AA90" s="263"/>
      <c r="AB90" s="265"/>
      <c r="AC90" s="263"/>
      <c r="AD90" s="265"/>
      <c r="AE90" s="263"/>
      <c r="AF90" s="265"/>
      <c r="AG90" s="263"/>
      <c r="AH90" s="265"/>
      <c r="AI90" s="263"/>
      <c r="AJ90" s="265"/>
      <c r="AK90" s="263"/>
      <c r="AL90" s="265"/>
      <c r="AM90" s="263"/>
      <c r="AN90" s="265"/>
      <c r="AO90" s="263"/>
      <c r="AP90" s="265"/>
      <c r="AQ90" s="263"/>
      <c r="AR90" s="265"/>
      <c r="AS90" s="263"/>
      <c r="AT90" s="265"/>
      <c r="AU90" s="263"/>
      <c r="AV90" s="265"/>
      <c r="AW90" s="266">
        <v>100</v>
      </c>
      <c r="AX90" s="272"/>
      <c r="AY90" s="284"/>
    </row>
    <row r="91" spans="1:55" ht="15.75" thickBot="1" x14ac:dyDescent="0.3">
      <c r="A91" s="112"/>
      <c r="B91" s="271" t="s">
        <v>212</v>
      </c>
      <c r="C91" s="131">
        <v>13</v>
      </c>
      <c r="D91" s="114" t="s">
        <v>213</v>
      </c>
      <c r="E91" s="261"/>
      <c r="F91" s="262"/>
      <c r="G91" s="263"/>
      <c r="H91" s="264"/>
      <c r="I91" s="263"/>
      <c r="J91" s="264"/>
      <c r="K91" s="263"/>
      <c r="L91" s="264"/>
      <c r="M91" s="263"/>
      <c r="N91" s="264"/>
      <c r="O91" s="263"/>
      <c r="P91" s="264"/>
      <c r="Q91" s="263"/>
      <c r="R91" s="264"/>
      <c r="S91" s="47"/>
      <c r="T91" s="91"/>
      <c r="U91" s="263"/>
      <c r="V91" s="264"/>
      <c r="W91" s="191"/>
      <c r="X91" s="192"/>
      <c r="Y91" s="263"/>
      <c r="Z91" s="264"/>
      <c r="AA91" s="263"/>
      <c r="AB91" s="265"/>
      <c r="AC91" s="263"/>
      <c r="AD91" s="265"/>
      <c r="AE91" s="263"/>
      <c r="AF91" s="265"/>
      <c r="AG91" s="263"/>
      <c r="AH91" s="265"/>
      <c r="AI91" s="263"/>
      <c r="AJ91" s="265"/>
      <c r="AK91" s="263"/>
      <c r="AL91" s="265"/>
      <c r="AM91" s="263"/>
      <c r="AN91" s="265"/>
      <c r="AO91" s="263"/>
      <c r="AP91" s="265"/>
      <c r="AQ91" s="263"/>
      <c r="AR91" s="265"/>
      <c r="AS91" s="263"/>
      <c r="AT91" s="265"/>
      <c r="AU91" s="263"/>
      <c r="AV91" s="265"/>
      <c r="AW91" s="266">
        <v>100</v>
      </c>
      <c r="AX91" s="272"/>
      <c r="AY91" s="284"/>
    </row>
    <row r="92" spans="1:55" ht="15.75" thickBot="1" x14ac:dyDescent="0.3">
      <c r="A92" s="112"/>
      <c r="B92" s="260" t="s">
        <v>214</v>
      </c>
      <c r="C92" s="131">
        <v>14</v>
      </c>
      <c r="D92" s="114" t="s">
        <v>215</v>
      </c>
      <c r="E92" s="261"/>
      <c r="F92" s="262"/>
      <c r="G92" s="263"/>
      <c r="H92" s="264"/>
      <c r="I92" s="263"/>
      <c r="J92" s="264"/>
      <c r="K92" s="263"/>
      <c r="L92" s="264"/>
      <c r="M92" s="263"/>
      <c r="N92" s="264"/>
      <c r="O92" s="263"/>
      <c r="P92" s="264"/>
      <c r="Q92" s="263"/>
      <c r="R92" s="264"/>
      <c r="S92" s="47"/>
      <c r="T92" s="91"/>
      <c r="U92" s="263"/>
      <c r="V92" s="264"/>
      <c r="W92" s="191"/>
      <c r="X92" s="192"/>
      <c r="Y92" s="263"/>
      <c r="Z92" s="264"/>
      <c r="AA92" s="263"/>
      <c r="AB92" s="265"/>
      <c r="AC92" s="263"/>
      <c r="AD92" s="265"/>
      <c r="AE92" s="263">
        <v>0</v>
      </c>
      <c r="AF92" s="265"/>
      <c r="AG92" s="263">
        <v>121.667</v>
      </c>
      <c r="AH92" s="265"/>
      <c r="AI92" s="263">
        <f>121.667+257.333</f>
        <v>379</v>
      </c>
      <c r="AJ92" s="265"/>
      <c r="AK92" s="263">
        <f>121.667+257.333</f>
        <v>379</v>
      </c>
      <c r="AL92" s="265"/>
      <c r="AM92" s="263">
        <f>121.667+257.333+100</f>
        <v>479</v>
      </c>
      <c r="AN92" s="265"/>
      <c r="AO92" s="263">
        <f>121.667+257.333+100</f>
        <v>479</v>
      </c>
      <c r="AP92" s="265"/>
      <c r="AQ92" s="263">
        <f>121.667+257.333+100+50</f>
        <v>529</v>
      </c>
      <c r="AR92" s="265"/>
      <c r="AS92" s="263">
        <f>121.667+257.333+100+50+200</f>
        <v>729</v>
      </c>
      <c r="AT92" s="265"/>
      <c r="AU92" s="263">
        <f>121.667+257.333+100+50+200</f>
        <v>729</v>
      </c>
      <c r="AV92" s="265"/>
      <c r="AW92" s="266">
        <v>200</v>
      </c>
      <c r="AX92" s="272"/>
      <c r="AY92" s="284"/>
    </row>
    <row r="93" spans="1:55" ht="15.75" thickBot="1" x14ac:dyDescent="0.3">
      <c r="A93" s="73"/>
      <c r="B93" s="132"/>
      <c r="C93" s="132"/>
      <c r="D93" s="75" t="s">
        <v>44</v>
      </c>
      <c r="E93" s="215"/>
      <c r="F93" s="232">
        <f>SUM(E79:E88)</f>
        <v>12140</v>
      </c>
      <c r="G93" s="217"/>
      <c r="H93" s="233">
        <f>SUM(G79:G88)</f>
        <v>12350</v>
      </c>
      <c r="I93" s="217"/>
      <c r="J93" s="233">
        <f>SUM(I79:I88)</f>
        <v>12763.5</v>
      </c>
      <c r="K93" s="217"/>
      <c r="L93" s="233">
        <f>SUM(K79:K88)</f>
        <v>13113.5</v>
      </c>
      <c r="M93" s="217"/>
      <c r="N93" s="233">
        <f>SUM(M79:M88)</f>
        <v>13119.5</v>
      </c>
      <c r="O93" s="217"/>
      <c r="P93" s="233">
        <v>16123.1</v>
      </c>
      <c r="Q93" s="217"/>
      <c r="R93" s="233">
        <f>SUM(Q79:Q88)</f>
        <v>14095</v>
      </c>
      <c r="S93" s="107">
        <f>R93-P93</f>
        <v>-2028.1000000000004</v>
      </c>
      <c r="T93" s="91"/>
      <c r="U93" s="217"/>
      <c r="V93" s="233">
        <f>SUM(U79:U88)</f>
        <v>14130</v>
      </c>
      <c r="W93" s="191"/>
      <c r="X93" s="192"/>
      <c r="Y93" s="217"/>
      <c r="Z93" s="233">
        <f>SUM(Y79:Y89)</f>
        <v>14130</v>
      </c>
      <c r="AA93" s="217"/>
      <c r="AB93" s="234">
        <f>SUM(AA79:AA89)</f>
        <v>14089</v>
      </c>
      <c r="AC93" s="217"/>
      <c r="AD93" s="234">
        <f>SUM(AC79:AC89)</f>
        <v>14089</v>
      </c>
      <c r="AE93" s="217"/>
      <c r="AF93" s="234">
        <f>SUM(AE79:AE92)</f>
        <v>14290.260399999999</v>
      </c>
      <c r="AG93" s="217"/>
      <c r="AH93" s="234">
        <f>SUM(AG79:AG92)</f>
        <v>14410.8274</v>
      </c>
      <c r="AI93" s="217"/>
      <c r="AJ93" s="234">
        <f>SUM(AI79:AI92)</f>
        <v>14898.160400000001</v>
      </c>
      <c r="AK93" s="217"/>
      <c r="AL93" s="234">
        <f>SUM(AK79:AK92)</f>
        <v>15029.519399999999</v>
      </c>
      <c r="AM93" s="217"/>
      <c r="AN93" s="234">
        <f>SUM(AM79:AM92)</f>
        <v>14779.519399999999</v>
      </c>
      <c r="AO93" s="217"/>
      <c r="AP93" s="234">
        <f>SUM(AO79:AO92)</f>
        <v>14529.519399999999</v>
      </c>
      <c r="AQ93" s="217"/>
      <c r="AR93" s="234">
        <f>SUM(AQ79:AQ92)</f>
        <v>14509.519399999999</v>
      </c>
      <c r="AS93" s="217"/>
      <c r="AT93" s="234">
        <f>SUM(AS79:AS92)</f>
        <v>14859.519399999999</v>
      </c>
      <c r="AU93" s="217"/>
      <c r="AV93" s="234">
        <f>SUM(AU79:AU92)</f>
        <v>15099.877399999999</v>
      </c>
      <c r="AW93" s="220"/>
      <c r="AX93" s="235">
        <f>SUM(AW79:AW92)</f>
        <v>18755.128000000001</v>
      </c>
    </row>
    <row r="94" spans="1:55" ht="15.75" thickBot="1" x14ac:dyDescent="0.3">
      <c r="A94" s="40" t="s">
        <v>87</v>
      </c>
      <c r="B94" s="128" t="s">
        <v>216</v>
      </c>
      <c r="C94" s="128">
        <v>1</v>
      </c>
      <c r="D94" s="42" t="s">
        <v>217</v>
      </c>
      <c r="E94" s="285">
        <v>715</v>
      </c>
      <c r="F94" s="286"/>
      <c r="G94" s="51">
        <f>715+30</f>
        <v>745</v>
      </c>
      <c r="H94" s="193"/>
      <c r="I94" s="51">
        <f>715+30</f>
        <v>745</v>
      </c>
      <c r="J94" s="193"/>
      <c r="K94" s="51">
        <v>745</v>
      </c>
      <c r="L94" s="193"/>
      <c r="M94" s="51">
        <v>745</v>
      </c>
      <c r="N94" s="193"/>
      <c r="O94" s="51">
        <v>745</v>
      </c>
      <c r="P94" s="193"/>
      <c r="Q94" s="51">
        <v>745</v>
      </c>
      <c r="R94" s="193"/>
      <c r="S94" s="287"/>
      <c r="T94" s="288"/>
      <c r="U94" s="51">
        <v>745</v>
      </c>
      <c r="V94" s="193"/>
      <c r="W94" s="289">
        <f t="shared" ref="W94:W101" si="10">U94-Q94</f>
        <v>0</v>
      </c>
      <c r="X94" s="290"/>
      <c r="Y94" s="51">
        <v>745</v>
      </c>
      <c r="Z94" s="193"/>
      <c r="AA94" s="51">
        <v>745</v>
      </c>
      <c r="AB94" s="289"/>
      <c r="AC94" s="51">
        <v>745</v>
      </c>
      <c r="AD94" s="289"/>
      <c r="AE94" s="51">
        <v>745</v>
      </c>
      <c r="AF94" s="289"/>
      <c r="AG94" s="51">
        <v>745</v>
      </c>
      <c r="AH94" s="289"/>
      <c r="AI94" s="51">
        <v>745</v>
      </c>
      <c r="AJ94" s="289"/>
      <c r="AK94" s="51">
        <v>745</v>
      </c>
      <c r="AL94" s="289"/>
      <c r="AM94" s="51">
        <v>745</v>
      </c>
      <c r="AN94" s="289"/>
      <c r="AO94" s="51">
        <v>745</v>
      </c>
      <c r="AP94" s="289"/>
      <c r="AQ94" s="51">
        <v>745</v>
      </c>
      <c r="AR94" s="289"/>
      <c r="AS94" s="51">
        <v>745</v>
      </c>
      <c r="AT94" s="289"/>
      <c r="AU94" s="51">
        <v>745</v>
      </c>
      <c r="AV94" s="289"/>
      <c r="AW94" s="51">
        <v>800</v>
      </c>
      <c r="AX94" s="249" t="s">
        <v>218</v>
      </c>
      <c r="AY94" s="194">
        <v>745</v>
      </c>
      <c r="AZ94" s="195"/>
      <c r="BA94" s="55">
        <f>AW94-AY94</f>
        <v>55</v>
      </c>
      <c r="BB94" s="56"/>
      <c r="BC94" s="171"/>
    </row>
    <row r="95" spans="1:55" ht="15.75" thickBot="1" x14ac:dyDescent="0.3">
      <c r="A95" s="86"/>
      <c r="B95" s="129"/>
      <c r="C95" s="214">
        <v>2</v>
      </c>
      <c r="D95" s="96" t="s">
        <v>219</v>
      </c>
      <c r="E95" s="205">
        <v>625</v>
      </c>
      <c r="F95" s="197"/>
      <c r="G95" s="207">
        <v>625</v>
      </c>
      <c r="H95" s="199"/>
      <c r="I95" s="207">
        <v>625</v>
      </c>
      <c r="J95" s="199"/>
      <c r="K95" s="207">
        <f>625-250</f>
        <v>375</v>
      </c>
      <c r="L95" s="199"/>
      <c r="M95" s="207">
        <f>625-250</f>
        <v>375</v>
      </c>
      <c r="N95" s="199"/>
      <c r="O95" s="207">
        <f>625-250</f>
        <v>375</v>
      </c>
      <c r="P95" s="199"/>
      <c r="Q95" s="207">
        <v>140</v>
      </c>
      <c r="R95" s="199"/>
      <c r="S95" s="47"/>
      <c r="T95" s="126"/>
      <c r="U95" s="207">
        <v>140</v>
      </c>
      <c r="V95" s="199"/>
      <c r="W95" s="191">
        <f t="shared" si="10"/>
        <v>0</v>
      </c>
      <c r="X95" s="192"/>
      <c r="Y95" s="207">
        <v>140</v>
      </c>
      <c r="Z95" s="199"/>
      <c r="AA95" s="207">
        <v>140</v>
      </c>
      <c r="AB95" s="200"/>
      <c r="AC95" s="207">
        <v>140</v>
      </c>
      <c r="AD95" s="200"/>
      <c r="AE95" s="207">
        <v>140</v>
      </c>
      <c r="AF95" s="200"/>
      <c r="AG95" s="207">
        <v>140</v>
      </c>
      <c r="AH95" s="200"/>
      <c r="AI95" s="207">
        <v>140</v>
      </c>
      <c r="AJ95" s="200"/>
      <c r="AK95" s="207">
        <v>140</v>
      </c>
      <c r="AL95" s="200"/>
      <c r="AM95" s="207">
        <v>140</v>
      </c>
      <c r="AN95" s="200"/>
      <c r="AO95" s="207">
        <v>140</v>
      </c>
      <c r="AP95" s="200"/>
      <c r="AQ95" s="207">
        <v>140</v>
      </c>
      <c r="AR95" s="200"/>
      <c r="AS95" s="207">
        <v>140</v>
      </c>
      <c r="AT95" s="200"/>
      <c r="AU95" s="207">
        <v>140</v>
      </c>
      <c r="AV95" s="200"/>
      <c r="AW95" s="210">
        <v>120</v>
      </c>
      <c r="AX95" s="202" t="s">
        <v>220</v>
      </c>
      <c r="AY95" s="203">
        <v>140</v>
      </c>
      <c r="AZ95" s="204"/>
      <c r="BA95" s="55">
        <f t="shared" ref="BA95:BA101" si="11">AW95-AY95</f>
        <v>-20</v>
      </c>
      <c r="BB95" s="56"/>
      <c r="BC95" s="171"/>
    </row>
    <row r="96" spans="1:55" ht="15.75" thickBot="1" x14ac:dyDescent="0.3">
      <c r="A96" s="95"/>
      <c r="B96" s="214"/>
      <c r="C96" s="214">
        <f>+C95+1</f>
        <v>3</v>
      </c>
      <c r="D96" s="96" t="s">
        <v>221</v>
      </c>
      <c r="E96" s="261">
        <v>2200</v>
      </c>
      <c r="F96" s="206"/>
      <c r="G96" s="263">
        <f>2200+493.6+100</f>
        <v>2793.6</v>
      </c>
      <c r="H96" s="208"/>
      <c r="I96" s="263">
        <f>2200+493.6+100</f>
        <v>2793.6</v>
      </c>
      <c r="J96" s="208"/>
      <c r="K96" s="263">
        <f>2200+493.6+100+560</f>
        <v>3353.6</v>
      </c>
      <c r="L96" s="208"/>
      <c r="M96" s="263">
        <f>2200+493.6+100+560</f>
        <v>3353.6</v>
      </c>
      <c r="N96" s="208"/>
      <c r="O96" s="263">
        <f>2200+493.6+100+560+68</f>
        <v>3421.6</v>
      </c>
      <c r="P96" s="208"/>
      <c r="Q96" s="263">
        <v>2500</v>
      </c>
      <c r="R96" s="208"/>
      <c r="S96" s="47"/>
      <c r="T96" s="91" t="s">
        <v>222</v>
      </c>
      <c r="U96" s="263">
        <v>2500</v>
      </c>
      <c r="V96" s="208"/>
      <c r="W96" s="191">
        <f t="shared" si="10"/>
        <v>0</v>
      </c>
      <c r="X96" s="192"/>
      <c r="Y96" s="263">
        <v>2500</v>
      </c>
      <c r="Z96" s="208"/>
      <c r="AA96" s="263">
        <f>2500+452.4</f>
        <v>2952.4</v>
      </c>
      <c r="AB96" s="209"/>
      <c r="AC96" s="263">
        <f>2500+452.4</f>
        <v>2952.4</v>
      </c>
      <c r="AD96" s="209"/>
      <c r="AE96" s="263">
        <f>2500+452.4</f>
        <v>2952.4</v>
      </c>
      <c r="AF96" s="209"/>
      <c r="AG96" s="263">
        <f>2500+452.4</f>
        <v>2952.4</v>
      </c>
      <c r="AH96" s="209"/>
      <c r="AI96" s="263">
        <f>2500+452.4</f>
        <v>2952.4</v>
      </c>
      <c r="AJ96" s="209"/>
      <c r="AK96" s="263">
        <f>2500+452.4</f>
        <v>2952.4</v>
      </c>
      <c r="AL96" s="209"/>
      <c r="AM96" s="263">
        <f>2500+452.4</f>
        <v>2952.4</v>
      </c>
      <c r="AN96" s="209"/>
      <c r="AO96" s="263">
        <f>2500+452.4</f>
        <v>2952.4</v>
      </c>
      <c r="AP96" s="209"/>
      <c r="AQ96" s="263">
        <f>2500+452.4</f>
        <v>2952.4</v>
      </c>
      <c r="AR96" s="209"/>
      <c r="AS96" s="263">
        <f>2500+452.4</f>
        <v>2952.4</v>
      </c>
      <c r="AT96" s="209"/>
      <c r="AU96" s="263">
        <f>2500+452.4</f>
        <v>2952.4</v>
      </c>
      <c r="AV96" s="209"/>
      <c r="AW96" s="266">
        <v>3000</v>
      </c>
      <c r="AX96" s="125" t="s">
        <v>223</v>
      </c>
      <c r="AY96" s="212">
        <v>2500</v>
      </c>
      <c r="AZ96" s="204"/>
      <c r="BA96" s="55">
        <f t="shared" si="11"/>
        <v>500</v>
      </c>
      <c r="BB96" s="56"/>
      <c r="BC96" s="171"/>
    </row>
    <row r="97" spans="1:55" ht="15.75" thickBot="1" x14ac:dyDescent="0.3">
      <c r="A97" s="112"/>
      <c r="B97" s="131"/>
      <c r="C97" s="214">
        <f>+C96+1</f>
        <v>4</v>
      </c>
      <c r="D97" s="96" t="s">
        <v>224</v>
      </c>
      <c r="E97" s="261">
        <v>125</v>
      </c>
      <c r="F97" s="262"/>
      <c r="G97" s="263">
        <v>125</v>
      </c>
      <c r="H97" s="264"/>
      <c r="I97" s="263">
        <v>125</v>
      </c>
      <c r="J97" s="264"/>
      <c r="K97" s="263">
        <v>125</v>
      </c>
      <c r="L97" s="264"/>
      <c r="M97" s="263">
        <v>125</v>
      </c>
      <c r="N97" s="264"/>
      <c r="O97" s="263">
        <v>125</v>
      </c>
      <c r="P97" s="264"/>
      <c r="Q97" s="263">
        <v>125</v>
      </c>
      <c r="R97" s="264"/>
      <c r="S97" s="47"/>
      <c r="T97" s="91"/>
      <c r="U97" s="263">
        <v>125</v>
      </c>
      <c r="V97" s="264"/>
      <c r="W97" s="191">
        <f t="shared" si="10"/>
        <v>0</v>
      </c>
      <c r="X97" s="192"/>
      <c r="Y97" s="263">
        <v>125</v>
      </c>
      <c r="Z97" s="264"/>
      <c r="AA97" s="263">
        <v>125</v>
      </c>
      <c r="AB97" s="265"/>
      <c r="AC97" s="263">
        <v>125</v>
      </c>
      <c r="AD97" s="265"/>
      <c r="AE97" s="263">
        <v>125</v>
      </c>
      <c r="AF97" s="265"/>
      <c r="AG97" s="263">
        <v>125</v>
      </c>
      <c r="AH97" s="265"/>
      <c r="AI97" s="263">
        <v>125</v>
      </c>
      <c r="AJ97" s="265"/>
      <c r="AK97" s="263">
        <v>125</v>
      </c>
      <c r="AL97" s="265"/>
      <c r="AM97" s="263">
        <v>125</v>
      </c>
      <c r="AN97" s="265"/>
      <c r="AO97" s="263">
        <v>125</v>
      </c>
      <c r="AP97" s="265"/>
      <c r="AQ97" s="263">
        <v>125</v>
      </c>
      <c r="AR97" s="265"/>
      <c r="AS97" s="263">
        <v>125</v>
      </c>
      <c r="AT97" s="265"/>
      <c r="AU97" s="263">
        <v>125</v>
      </c>
      <c r="AV97" s="265"/>
      <c r="AW97" s="266">
        <v>125</v>
      </c>
      <c r="AX97" s="272"/>
      <c r="AY97" s="291">
        <v>125</v>
      </c>
      <c r="AZ97" s="213"/>
      <c r="BA97" s="55">
        <f t="shared" si="11"/>
        <v>0</v>
      </c>
      <c r="BB97" s="56"/>
    </row>
    <row r="98" spans="1:55" ht="15.75" thickBot="1" x14ac:dyDescent="0.3">
      <c r="A98" s="112"/>
      <c r="B98" s="131"/>
      <c r="C98" s="214">
        <v>5</v>
      </c>
      <c r="D98" s="96" t="s">
        <v>225</v>
      </c>
      <c r="E98" s="261"/>
      <c r="F98" s="262"/>
      <c r="G98" s="263"/>
      <c r="H98" s="264"/>
      <c r="I98" s="263"/>
      <c r="J98" s="264"/>
      <c r="K98" s="263"/>
      <c r="L98" s="264"/>
      <c r="M98" s="263"/>
      <c r="N98" s="264"/>
      <c r="O98" s="263">
        <v>0</v>
      </c>
      <c r="P98" s="264"/>
      <c r="Q98" s="263">
        <v>90</v>
      </c>
      <c r="R98" s="264"/>
      <c r="S98" s="47"/>
      <c r="T98" s="126" t="s">
        <v>226</v>
      </c>
      <c r="U98" s="263">
        <f>49+76</f>
        <v>125</v>
      </c>
      <c r="V98" s="264"/>
      <c r="W98" s="292">
        <f t="shared" si="10"/>
        <v>35</v>
      </c>
      <c r="X98" s="293" t="s">
        <v>227</v>
      </c>
      <c r="Y98" s="263">
        <f>49+76</f>
        <v>125</v>
      </c>
      <c r="Z98" s="264"/>
      <c r="AA98" s="263">
        <f>49+76</f>
        <v>125</v>
      </c>
      <c r="AB98" s="265"/>
      <c r="AC98" s="263">
        <f>49+76</f>
        <v>125</v>
      </c>
      <c r="AD98" s="265"/>
      <c r="AE98" s="263">
        <f>49+76</f>
        <v>125</v>
      </c>
      <c r="AF98" s="265"/>
      <c r="AG98" s="263">
        <f>49+76</f>
        <v>125</v>
      </c>
      <c r="AH98" s="265"/>
      <c r="AI98" s="263">
        <f>49+76</f>
        <v>125</v>
      </c>
      <c r="AJ98" s="265"/>
      <c r="AK98" s="263">
        <f>49+76</f>
        <v>125</v>
      </c>
      <c r="AL98" s="265"/>
      <c r="AM98" s="263">
        <f>49+76</f>
        <v>125</v>
      </c>
      <c r="AN98" s="265"/>
      <c r="AO98" s="263">
        <f>49+76</f>
        <v>125</v>
      </c>
      <c r="AP98" s="265"/>
      <c r="AQ98" s="263">
        <f>49+76+350+85</f>
        <v>560</v>
      </c>
      <c r="AR98" s="265"/>
      <c r="AS98" s="263">
        <f>49+76+350+85+33</f>
        <v>593</v>
      </c>
      <c r="AT98" s="265"/>
      <c r="AU98" s="263">
        <f>49+76+350+85+33</f>
        <v>593</v>
      </c>
      <c r="AV98" s="265"/>
      <c r="AW98" s="266">
        <v>100</v>
      </c>
      <c r="AX98" s="272"/>
      <c r="AY98" s="291">
        <v>90</v>
      </c>
      <c r="AZ98" s="294"/>
      <c r="BA98" s="55">
        <f t="shared" si="11"/>
        <v>10</v>
      </c>
      <c r="BB98" s="56"/>
    </row>
    <row r="99" spans="1:55" ht="15.75" thickBot="1" x14ac:dyDescent="0.3">
      <c r="A99" s="112"/>
      <c r="B99" s="131"/>
      <c r="C99" s="214">
        <v>6</v>
      </c>
      <c r="D99" s="96" t="s">
        <v>228</v>
      </c>
      <c r="E99" s="261">
        <v>7</v>
      </c>
      <c r="F99" s="262"/>
      <c r="G99" s="263">
        <v>7</v>
      </c>
      <c r="H99" s="264"/>
      <c r="I99" s="263">
        <v>7</v>
      </c>
      <c r="J99" s="264"/>
      <c r="K99" s="263">
        <v>7</v>
      </c>
      <c r="L99" s="264"/>
      <c r="M99" s="263">
        <v>7</v>
      </c>
      <c r="N99" s="264"/>
      <c r="O99" s="263">
        <v>7</v>
      </c>
      <c r="P99" s="264"/>
      <c r="Q99" s="263">
        <v>7</v>
      </c>
      <c r="R99" s="264"/>
      <c r="S99" s="47"/>
      <c r="T99" s="91" t="s">
        <v>229</v>
      </c>
      <c r="U99" s="263">
        <v>7</v>
      </c>
      <c r="V99" s="264"/>
      <c r="W99" s="191">
        <f t="shared" si="10"/>
        <v>0</v>
      </c>
      <c r="X99" s="192"/>
      <c r="Y99" s="263">
        <v>7</v>
      </c>
      <c r="Z99" s="264"/>
      <c r="AA99" s="263">
        <v>7</v>
      </c>
      <c r="AB99" s="265"/>
      <c r="AC99" s="263">
        <v>7</v>
      </c>
      <c r="AD99" s="265"/>
      <c r="AE99" s="263">
        <v>7</v>
      </c>
      <c r="AF99" s="265"/>
      <c r="AG99" s="263">
        <v>7</v>
      </c>
      <c r="AH99" s="265"/>
      <c r="AI99" s="263">
        <v>7</v>
      </c>
      <c r="AJ99" s="265"/>
      <c r="AK99" s="263">
        <v>7</v>
      </c>
      <c r="AL99" s="265"/>
      <c r="AM99" s="263">
        <v>7</v>
      </c>
      <c r="AN99" s="265"/>
      <c r="AO99" s="263">
        <v>7</v>
      </c>
      <c r="AP99" s="265"/>
      <c r="AQ99" s="263">
        <v>7</v>
      </c>
      <c r="AR99" s="265"/>
      <c r="AS99" s="263">
        <v>7</v>
      </c>
      <c r="AT99" s="265"/>
      <c r="AU99" s="263">
        <v>7</v>
      </c>
      <c r="AV99" s="265"/>
      <c r="AW99" s="266">
        <v>7</v>
      </c>
      <c r="AX99" s="272"/>
      <c r="AY99" s="291">
        <v>7</v>
      </c>
      <c r="AZ99" s="294"/>
      <c r="BA99" s="55">
        <f t="shared" si="11"/>
        <v>0</v>
      </c>
      <c r="BB99" s="56"/>
    </row>
    <row r="100" spans="1:55" ht="15.75" thickBot="1" x14ac:dyDescent="0.3">
      <c r="A100" s="112"/>
      <c r="B100" s="131"/>
      <c r="C100" s="214">
        <v>7</v>
      </c>
      <c r="D100" s="96" t="s">
        <v>230</v>
      </c>
      <c r="E100" s="261">
        <v>330</v>
      </c>
      <c r="F100" s="206"/>
      <c r="G100" s="263">
        <v>330</v>
      </c>
      <c r="H100" s="208"/>
      <c r="I100" s="263">
        <v>330</v>
      </c>
      <c r="J100" s="208"/>
      <c r="K100" s="263">
        <v>330</v>
      </c>
      <c r="L100" s="208"/>
      <c r="M100" s="263">
        <v>330</v>
      </c>
      <c r="N100" s="208"/>
      <c r="O100" s="263">
        <v>330</v>
      </c>
      <c r="P100" s="208"/>
      <c r="Q100" s="263">
        <v>330</v>
      </c>
      <c r="R100" s="208"/>
      <c r="S100" s="47"/>
      <c r="T100" s="126"/>
      <c r="U100" s="263">
        <v>330</v>
      </c>
      <c r="V100" s="208"/>
      <c r="W100" s="191">
        <f t="shared" si="10"/>
        <v>0</v>
      </c>
      <c r="X100" s="192"/>
      <c r="Y100" s="263">
        <v>330</v>
      </c>
      <c r="Z100" s="208"/>
      <c r="AA100" s="263">
        <v>330</v>
      </c>
      <c r="AB100" s="209"/>
      <c r="AC100" s="263">
        <v>330</v>
      </c>
      <c r="AD100" s="209"/>
      <c r="AE100" s="263">
        <v>330</v>
      </c>
      <c r="AF100" s="209"/>
      <c r="AG100" s="263">
        <v>330</v>
      </c>
      <c r="AH100" s="209"/>
      <c r="AI100" s="263">
        <v>330</v>
      </c>
      <c r="AJ100" s="209"/>
      <c r="AK100" s="263">
        <v>330</v>
      </c>
      <c r="AL100" s="209"/>
      <c r="AM100" s="263">
        <v>330</v>
      </c>
      <c r="AN100" s="209"/>
      <c r="AO100" s="263">
        <v>330</v>
      </c>
      <c r="AP100" s="209"/>
      <c r="AQ100" s="263">
        <v>330</v>
      </c>
      <c r="AR100" s="209"/>
      <c r="AS100" s="263">
        <v>330</v>
      </c>
      <c r="AT100" s="209"/>
      <c r="AU100" s="263">
        <v>330</v>
      </c>
      <c r="AV100" s="209"/>
      <c r="AW100" s="266">
        <v>330</v>
      </c>
      <c r="AX100" s="211"/>
      <c r="AY100" s="291">
        <v>330</v>
      </c>
      <c r="AZ100" s="294"/>
      <c r="BA100" s="55">
        <f t="shared" si="11"/>
        <v>0</v>
      </c>
      <c r="BB100" s="56"/>
    </row>
    <row r="101" spans="1:55" ht="15.75" thickBot="1" x14ac:dyDescent="0.3">
      <c r="A101" s="112"/>
      <c r="B101" s="131"/>
      <c r="C101" s="214">
        <v>8</v>
      </c>
      <c r="D101" s="96" t="s">
        <v>231</v>
      </c>
      <c r="E101" s="261">
        <v>700</v>
      </c>
      <c r="F101" s="262"/>
      <c r="G101" s="263">
        <f>700-100</f>
        <v>600</v>
      </c>
      <c r="H101" s="264"/>
      <c r="I101" s="263">
        <f>700-100</f>
        <v>600</v>
      </c>
      <c r="J101" s="264"/>
      <c r="K101" s="263">
        <f>600+246</f>
        <v>846</v>
      </c>
      <c r="L101" s="295"/>
      <c r="M101" s="263">
        <f>600+246</f>
        <v>846</v>
      </c>
      <c r="N101" s="295"/>
      <c r="O101" s="263">
        <f>600+246+68</f>
        <v>914</v>
      </c>
      <c r="P101" s="295"/>
      <c r="Q101" s="263">
        <f>600+246+68</f>
        <v>914</v>
      </c>
      <c r="R101" s="295"/>
      <c r="S101" s="47"/>
      <c r="T101" s="91"/>
      <c r="U101" s="263">
        <f>600+246+68</f>
        <v>914</v>
      </c>
      <c r="V101" s="295"/>
      <c r="W101" s="191">
        <f t="shared" si="10"/>
        <v>0</v>
      </c>
      <c r="X101" s="192"/>
      <c r="Y101" s="263">
        <f>600+246+68</f>
        <v>914</v>
      </c>
      <c r="Z101" s="295"/>
      <c r="AA101" s="263">
        <f>600+246+68</f>
        <v>914</v>
      </c>
      <c r="AB101" s="296"/>
      <c r="AC101" s="263">
        <f>600+246+68</f>
        <v>914</v>
      </c>
      <c r="AD101" s="296"/>
      <c r="AE101" s="263">
        <f>600+246+68</f>
        <v>914</v>
      </c>
      <c r="AF101" s="296"/>
      <c r="AG101" s="263">
        <f>600+246+68-33</f>
        <v>881</v>
      </c>
      <c r="AH101" s="296"/>
      <c r="AI101" s="263">
        <f>600+246+68-33</f>
        <v>881</v>
      </c>
      <c r="AJ101" s="296"/>
      <c r="AK101" s="263">
        <f>600+246+68-33</f>
        <v>881</v>
      </c>
      <c r="AL101" s="296"/>
      <c r="AM101" s="263">
        <f>600+246+68-33</f>
        <v>881</v>
      </c>
      <c r="AN101" s="296"/>
      <c r="AO101" s="263">
        <f>600+246+68-33</f>
        <v>881</v>
      </c>
      <c r="AP101" s="296"/>
      <c r="AQ101" s="263">
        <f>600+246+68-33-7+50+350</f>
        <v>1274</v>
      </c>
      <c r="AR101" s="296"/>
      <c r="AS101" s="263">
        <f>600+246+68-33-7+50+350-33</f>
        <v>1241</v>
      </c>
      <c r="AT101" s="296"/>
      <c r="AU101" s="263">
        <f>600+246+68-33-7+50+350-33</f>
        <v>1241</v>
      </c>
      <c r="AV101" s="296"/>
      <c r="AW101" s="266">
        <v>902.5</v>
      </c>
      <c r="AX101" s="297"/>
      <c r="AY101" s="291">
        <v>914</v>
      </c>
      <c r="AZ101" s="213"/>
      <c r="BA101" s="55">
        <f t="shared" si="11"/>
        <v>-11.5</v>
      </c>
      <c r="BB101" s="56"/>
    </row>
    <row r="102" spans="1:55" ht="15.75" thickBot="1" x14ac:dyDescent="0.3">
      <c r="A102" s="73"/>
      <c r="B102" s="132"/>
      <c r="C102" s="132"/>
      <c r="D102" s="75" t="s">
        <v>44</v>
      </c>
      <c r="E102" s="215"/>
      <c r="F102" s="232">
        <f>SUM(E94:E101)</f>
        <v>4702</v>
      </c>
      <c r="G102" s="217"/>
      <c r="H102" s="233">
        <f>SUM(G94:G101)</f>
        <v>5225.6000000000004</v>
      </c>
      <c r="I102" s="217"/>
      <c r="J102" s="233">
        <f>SUM(I94:I101)</f>
        <v>5225.6000000000004</v>
      </c>
      <c r="K102" s="217"/>
      <c r="L102" s="233">
        <f>SUM(K94:K101)</f>
        <v>5781.6</v>
      </c>
      <c r="M102" s="217"/>
      <c r="N102" s="233">
        <f>SUM(M94:M101)</f>
        <v>5781.6</v>
      </c>
      <c r="O102" s="217"/>
      <c r="P102" s="233">
        <v>6162.7</v>
      </c>
      <c r="Q102" s="217"/>
      <c r="R102" s="233">
        <f>SUM(Q94:Q101)</f>
        <v>4851</v>
      </c>
      <c r="S102" s="107">
        <f t="shared" ref="S102:S107" si="12">R102-P102</f>
        <v>-1311.6999999999998</v>
      </c>
      <c r="T102" s="91"/>
      <c r="U102" s="217"/>
      <c r="V102" s="233">
        <f>SUM(U94:U101)</f>
        <v>4886</v>
      </c>
      <c r="W102" s="234"/>
      <c r="X102" s="192"/>
      <c r="Y102" s="217"/>
      <c r="Z102" s="233">
        <f>SUM(Y94:Y101)</f>
        <v>4886</v>
      </c>
      <c r="AA102" s="217"/>
      <c r="AB102" s="234">
        <f>SUM(AA94:AA101)</f>
        <v>5338.4</v>
      </c>
      <c r="AC102" s="217"/>
      <c r="AD102" s="234">
        <f>SUM(AC94:AC101)</f>
        <v>5338.4</v>
      </c>
      <c r="AE102" s="217"/>
      <c r="AF102" s="234">
        <f>SUM(AE94:AE101)</f>
        <v>5338.4</v>
      </c>
      <c r="AG102" s="217"/>
      <c r="AH102" s="234">
        <f>SUM(AG94:AG101)</f>
        <v>5305.4</v>
      </c>
      <c r="AI102" s="217"/>
      <c r="AJ102" s="234">
        <f>SUM(AI94:AI101)</f>
        <v>5305.4</v>
      </c>
      <c r="AK102" s="217"/>
      <c r="AL102" s="234">
        <f>SUM(AK94:AK101)</f>
        <v>5305.4</v>
      </c>
      <c r="AM102" s="217"/>
      <c r="AN102" s="234">
        <f>SUM(AM94:AM101)</f>
        <v>5305.4</v>
      </c>
      <c r="AO102" s="217"/>
      <c r="AP102" s="234">
        <f>SUM(AO94:AO101)</f>
        <v>5305.4</v>
      </c>
      <c r="AQ102" s="217"/>
      <c r="AR102" s="234">
        <f>SUM(AQ94:AQ101)</f>
        <v>6133.4</v>
      </c>
      <c r="AS102" s="217"/>
      <c r="AT102" s="234">
        <f>SUM(AS94:AS101)</f>
        <v>6133.4</v>
      </c>
      <c r="AU102" s="217"/>
      <c r="AV102" s="234">
        <f>SUM(AU94:AU101)</f>
        <v>6133.4</v>
      </c>
      <c r="AW102" s="220"/>
      <c r="AX102" s="235">
        <f>SUM(AW94:AW101)</f>
        <v>5384.5</v>
      </c>
      <c r="AY102" s="222"/>
      <c r="AZ102" s="236">
        <f>SUM(AY94:AY101)</f>
        <v>4851</v>
      </c>
      <c r="BB102" s="56"/>
    </row>
    <row r="103" spans="1:55" ht="15.75" thickBot="1" x14ac:dyDescent="0.3">
      <c r="A103" s="133" t="s">
        <v>90</v>
      </c>
      <c r="B103" s="298" t="s">
        <v>232</v>
      </c>
      <c r="C103" s="298"/>
      <c r="D103" s="299" t="s">
        <v>233</v>
      </c>
      <c r="E103" s="135">
        <v>905</v>
      </c>
      <c r="F103" s="300">
        <f>SUM(E103)</f>
        <v>905</v>
      </c>
      <c r="G103" s="137">
        <v>905</v>
      </c>
      <c r="H103" s="301">
        <f>SUM(G103)</f>
        <v>905</v>
      </c>
      <c r="I103" s="137">
        <v>905</v>
      </c>
      <c r="J103" s="301">
        <f>SUM(I103)</f>
        <v>905</v>
      </c>
      <c r="K103" s="137">
        <v>905</v>
      </c>
      <c r="L103" s="301">
        <f>SUM(K103)</f>
        <v>905</v>
      </c>
      <c r="M103" s="137">
        <v>905</v>
      </c>
      <c r="N103" s="301">
        <f>SUM(M103)</f>
        <v>905</v>
      </c>
      <c r="O103" s="137">
        <v>905</v>
      </c>
      <c r="P103" s="301">
        <f>SUM(O103)</f>
        <v>905</v>
      </c>
      <c r="Q103" s="137">
        <v>905</v>
      </c>
      <c r="R103" s="301">
        <f>SUM(Q103)</f>
        <v>905</v>
      </c>
      <c r="S103" s="107">
        <f t="shared" si="12"/>
        <v>0</v>
      </c>
      <c r="T103" s="91"/>
      <c r="U103" s="137">
        <v>905</v>
      </c>
      <c r="V103" s="301">
        <f>SUM(U103)</f>
        <v>905</v>
      </c>
      <c r="W103" s="302"/>
      <c r="X103" s="192"/>
      <c r="Y103" s="137">
        <v>905</v>
      </c>
      <c r="Z103" s="301">
        <f>SUM(Y103)</f>
        <v>905</v>
      </c>
      <c r="AA103" s="137">
        <v>905</v>
      </c>
      <c r="AB103" s="302">
        <f>SUM(AA103)</f>
        <v>905</v>
      </c>
      <c r="AC103" s="137">
        <v>905</v>
      </c>
      <c r="AD103" s="302">
        <f>SUM(AC103)</f>
        <v>905</v>
      </c>
      <c r="AE103" s="137">
        <v>905</v>
      </c>
      <c r="AF103" s="302">
        <f>SUM(AE103)</f>
        <v>905</v>
      </c>
      <c r="AG103" s="137">
        <v>905</v>
      </c>
      <c r="AH103" s="302">
        <f>SUM(AG103)</f>
        <v>905</v>
      </c>
      <c r="AI103" s="137">
        <v>905</v>
      </c>
      <c r="AJ103" s="302">
        <f>SUM(AI103)</f>
        <v>905</v>
      </c>
      <c r="AK103" s="137">
        <v>905</v>
      </c>
      <c r="AL103" s="302">
        <f>SUM(AK103)</f>
        <v>905</v>
      </c>
      <c r="AM103" s="137">
        <v>905</v>
      </c>
      <c r="AN103" s="302">
        <f>SUM(AM103)</f>
        <v>905</v>
      </c>
      <c r="AO103" s="137">
        <v>905</v>
      </c>
      <c r="AP103" s="302">
        <f>SUM(AO103)</f>
        <v>905</v>
      </c>
      <c r="AQ103" s="137">
        <v>905</v>
      </c>
      <c r="AR103" s="302">
        <f>SUM(AQ103)</f>
        <v>905</v>
      </c>
      <c r="AS103" s="137">
        <v>905</v>
      </c>
      <c r="AT103" s="302">
        <f>SUM(AS103)</f>
        <v>905</v>
      </c>
      <c r="AU103" s="137">
        <f>905+104.495-90</f>
        <v>919.495</v>
      </c>
      <c r="AV103" s="302">
        <f>SUM(AU103)</f>
        <v>919.495</v>
      </c>
      <c r="AW103" s="141">
        <v>905</v>
      </c>
      <c r="AX103" s="303">
        <f>SUM(AW103)</f>
        <v>905</v>
      </c>
      <c r="AY103" s="143">
        <v>905</v>
      </c>
      <c r="AZ103" s="304">
        <f>SUM(AY103)</f>
        <v>905</v>
      </c>
      <c r="BB103" s="55">
        <f>AZ103-AX103</f>
        <v>0</v>
      </c>
    </row>
    <row r="104" spans="1:55" ht="15.75" thickBot="1" x14ac:dyDescent="0.3">
      <c r="A104" s="305" t="s">
        <v>92</v>
      </c>
      <c r="B104" s="273" t="s">
        <v>234</v>
      </c>
      <c r="C104" s="273"/>
      <c r="D104" s="274"/>
      <c r="E104" s="306">
        <v>1800</v>
      </c>
      <c r="F104" s="307">
        <f>SUM(E104)</f>
        <v>1800</v>
      </c>
      <c r="G104" s="308">
        <v>1800</v>
      </c>
      <c r="H104" s="309">
        <f>SUM(G104)</f>
        <v>1800</v>
      </c>
      <c r="I104" s="308">
        <v>1800</v>
      </c>
      <c r="J104" s="309">
        <f>SUM(I104)</f>
        <v>1800</v>
      </c>
      <c r="K104" s="308">
        <v>1800</v>
      </c>
      <c r="L104" s="309">
        <f>SUM(K104)</f>
        <v>1800</v>
      </c>
      <c r="M104" s="308">
        <v>1800</v>
      </c>
      <c r="N104" s="309">
        <f>SUM(M104)</f>
        <v>1800</v>
      </c>
      <c r="O104" s="308">
        <f>1800+800</f>
        <v>2600</v>
      </c>
      <c r="P104" s="309">
        <f>SUM(O104)</f>
        <v>2600</v>
      </c>
      <c r="Q104" s="308">
        <v>1500</v>
      </c>
      <c r="R104" s="309">
        <f>SUM(Q104)</f>
        <v>1500</v>
      </c>
      <c r="S104" s="107">
        <f t="shared" si="12"/>
        <v>-1100</v>
      </c>
      <c r="T104" s="126" t="s">
        <v>89</v>
      </c>
      <c r="U104" s="308">
        <v>1500</v>
      </c>
      <c r="V104" s="309">
        <f>SUM(U104)</f>
        <v>1500</v>
      </c>
      <c r="W104" s="310"/>
      <c r="X104" s="192"/>
      <c r="Y104" s="308">
        <v>1500</v>
      </c>
      <c r="Z104" s="309">
        <f>SUM(Y104)</f>
        <v>1500</v>
      </c>
      <c r="AA104" s="308">
        <v>1500</v>
      </c>
      <c r="AB104" s="310">
        <f>SUM(AA104)</f>
        <v>1500</v>
      </c>
      <c r="AC104" s="308">
        <v>1500</v>
      </c>
      <c r="AD104" s="310">
        <f>SUM(AC104)</f>
        <v>1500</v>
      </c>
      <c r="AE104" s="308">
        <v>1500</v>
      </c>
      <c r="AF104" s="310">
        <f>SUM(AE104)</f>
        <v>1500</v>
      </c>
      <c r="AG104" s="308">
        <v>1500</v>
      </c>
      <c r="AH104" s="310">
        <f>SUM(AG104)</f>
        <v>1500</v>
      </c>
      <c r="AI104" s="308">
        <v>1500</v>
      </c>
      <c r="AJ104" s="310">
        <f>SUM(AI104)</f>
        <v>1500</v>
      </c>
      <c r="AK104" s="308">
        <v>1500</v>
      </c>
      <c r="AL104" s="310">
        <f>SUM(AK104)</f>
        <v>1500</v>
      </c>
      <c r="AM104" s="308">
        <f>1500-100+5+150</f>
        <v>1555</v>
      </c>
      <c r="AN104" s="310">
        <f>SUM(AM104)</f>
        <v>1555</v>
      </c>
      <c r="AO104" s="308">
        <f>1500-100+5+150+250</f>
        <v>1805</v>
      </c>
      <c r="AP104" s="310">
        <f>SUM(AO104)</f>
        <v>1805</v>
      </c>
      <c r="AQ104" s="308">
        <f>1500-100+5+150+250+500+200</f>
        <v>2505</v>
      </c>
      <c r="AR104" s="310">
        <f>SUM(AQ104)</f>
        <v>2505</v>
      </c>
      <c r="AS104" s="308">
        <f>1500-100+5+150+250+500+200-200</f>
        <v>2305</v>
      </c>
      <c r="AT104" s="310">
        <f>SUM(AS104)</f>
        <v>2305</v>
      </c>
      <c r="AU104" s="308">
        <f>1500-100+5+150+250+500+200-200</f>
        <v>2305</v>
      </c>
      <c r="AV104" s="310">
        <f>SUM(AU104)</f>
        <v>2305</v>
      </c>
      <c r="AW104" s="311">
        <v>1800</v>
      </c>
      <c r="AX104" s="312">
        <f>SUM(AW104)</f>
        <v>1800</v>
      </c>
      <c r="AY104" s="313">
        <v>1500</v>
      </c>
      <c r="AZ104" s="314">
        <f>SUM(AY104)</f>
        <v>1500</v>
      </c>
      <c r="BB104" s="55">
        <f>AZ104-AX104</f>
        <v>-300</v>
      </c>
      <c r="BC104" s="106" t="s">
        <v>67</v>
      </c>
    </row>
    <row r="105" spans="1:55" ht="15.75" thickBot="1" x14ac:dyDescent="0.3">
      <c r="A105" s="315" t="s">
        <v>102</v>
      </c>
      <c r="B105" s="134" t="s">
        <v>235</v>
      </c>
      <c r="C105" s="134"/>
      <c r="D105" s="134"/>
      <c r="E105" s="245">
        <v>700</v>
      </c>
      <c r="F105" s="300">
        <f>SUM(E105)</f>
        <v>700</v>
      </c>
      <c r="G105" s="247">
        <v>700</v>
      </c>
      <c r="H105" s="301">
        <f>SUM(G105)</f>
        <v>700</v>
      </c>
      <c r="I105" s="247">
        <v>700</v>
      </c>
      <c r="J105" s="301">
        <f>SUM(I105)</f>
        <v>700</v>
      </c>
      <c r="K105" s="247">
        <v>700</v>
      </c>
      <c r="L105" s="301">
        <f>SUM(K105)</f>
        <v>700</v>
      </c>
      <c r="M105" s="247">
        <v>700</v>
      </c>
      <c r="N105" s="301">
        <f>SUM(M105)</f>
        <v>700</v>
      </c>
      <c r="O105" s="247">
        <v>700</v>
      </c>
      <c r="P105" s="301">
        <f>SUM(O105)</f>
        <v>700</v>
      </c>
      <c r="Q105" s="247">
        <v>700</v>
      </c>
      <c r="R105" s="301">
        <f>SUM(Q105)</f>
        <v>700</v>
      </c>
      <c r="S105" s="107">
        <f t="shared" si="12"/>
        <v>0</v>
      </c>
      <c r="T105" s="91"/>
      <c r="U105" s="247">
        <v>700</v>
      </c>
      <c r="V105" s="301">
        <f>SUM(U105)</f>
        <v>700</v>
      </c>
      <c r="W105" s="302"/>
      <c r="X105" s="192"/>
      <c r="Y105" s="247">
        <v>700</v>
      </c>
      <c r="Z105" s="301">
        <f>SUM(Y105)</f>
        <v>700</v>
      </c>
      <c r="AA105" s="247">
        <v>700</v>
      </c>
      <c r="AB105" s="302">
        <f>SUM(AA105)</f>
        <v>700</v>
      </c>
      <c r="AC105" s="247">
        <v>700</v>
      </c>
      <c r="AD105" s="302">
        <f>SUM(AC105)</f>
        <v>700</v>
      </c>
      <c r="AE105" s="247">
        <v>700</v>
      </c>
      <c r="AF105" s="302">
        <f>SUM(AE105)</f>
        <v>700</v>
      </c>
      <c r="AG105" s="247">
        <v>700</v>
      </c>
      <c r="AH105" s="302">
        <f>SUM(AG105)</f>
        <v>700</v>
      </c>
      <c r="AI105" s="247">
        <v>700</v>
      </c>
      <c r="AJ105" s="302">
        <f>SUM(AI105)</f>
        <v>700</v>
      </c>
      <c r="AK105" s="247">
        <v>700</v>
      </c>
      <c r="AL105" s="302">
        <f>SUM(AK105)</f>
        <v>700</v>
      </c>
      <c r="AM105" s="247">
        <v>700</v>
      </c>
      <c r="AN105" s="302">
        <f>SUM(AM105)</f>
        <v>700</v>
      </c>
      <c r="AO105" s="247">
        <v>700</v>
      </c>
      <c r="AP105" s="302">
        <f>SUM(AO105)</f>
        <v>700</v>
      </c>
      <c r="AQ105" s="247">
        <v>700</v>
      </c>
      <c r="AR105" s="302">
        <f>SUM(AQ105)</f>
        <v>700</v>
      </c>
      <c r="AS105" s="247">
        <v>700</v>
      </c>
      <c r="AT105" s="302">
        <f>SUM(AS105)</f>
        <v>700</v>
      </c>
      <c r="AU105" s="247">
        <v>700</v>
      </c>
      <c r="AV105" s="302">
        <f>SUM(AU105)</f>
        <v>700</v>
      </c>
      <c r="AW105" s="316">
        <v>825</v>
      </c>
      <c r="AX105" s="303">
        <f>SUM(AW105)</f>
        <v>825</v>
      </c>
      <c r="AY105" s="317">
        <v>700</v>
      </c>
      <c r="AZ105" s="304">
        <f>SUM(AY105)</f>
        <v>700</v>
      </c>
      <c r="BB105" s="55">
        <f>AZ105-AX105</f>
        <v>-125</v>
      </c>
      <c r="BC105" s="106" t="s">
        <v>236</v>
      </c>
    </row>
    <row r="106" spans="1:55" ht="15.75" thickBot="1" x14ac:dyDescent="0.3">
      <c r="A106" s="146"/>
      <c r="B106" s="147" t="s">
        <v>237</v>
      </c>
      <c r="C106" s="147"/>
      <c r="D106" s="147"/>
      <c r="E106" s="318"/>
      <c r="F106" s="319">
        <f>SUM(F54:F105)</f>
        <v>64644</v>
      </c>
      <c r="G106" s="45"/>
      <c r="H106" s="320">
        <f>SUM(H54:H105)</f>
        <v>65485.599999999999</v>
      </c>
      <c r="I106" s="45"/>
      <c r="J106" s="320">
        <f>SUM(J54:J105)</f>
        <v>66300.5</v>
      </c>
      <c r="K106" s="45"/>
      <c r="L106" s="320">
        <f>SUM(L54:L105)</f>
        <v>67386.5</v>
      </c>
      <c r="M106" s="45"/>
      <c r="N106" s="320">
        <f>SUM(N54:N105)</f>
        <v>67924.3</v>
      </c>
      <c r="O106" s="45"/>
      <c r="P106" s="320">
        <f>SUM(P54:P105)</f>
        <v>87141.1</v>
      </c>
      <c r="Q106" s="45"/>
      <c r="R106" s="320">
        <f>SUM(R54:R105)</f>
        <v>97920</v>
      </c>
      <c r="S106" s="107">
        <f t="shared" si="12"/>
        <v>10778.899999999994</v>
      </c>
      <c r="T106" s="91"/>
      <c r="U106" s="45"/>
      <c r="V106" s="320">
        <f>SUM(V54:V105)</f>
        <v>98018</v>
      </c>
      <c r="W106" s="321"/>
      <c r="X106" s="322"/>
      <c r="Y106" s="45"/>
      <c r="Z106" s="320">
        <f>SUM(Z54:Z105)</f>
        <v>99418</v>
      </c>
      <c r="AA106" s="45"/>
      <c r="AB106" s="321">
        <f>SUM(AB54:AB105)</f>
        <v>100604.9486</v>
      </c>
      <c r="AC106" s="45"/>
      <c r="AD106" s="321">
        <f>SUM(AD54:AD105)</f>
        <v>99904.948600000003</v>
      </c>
      <c r="AE106" s="45"/>
      <c r="AF106" s="321">
        <f>SUM(AF54:AF105)</f>
        <v>101002.35399999999</v>
      </c>
      <c r="AG106" s="45"/>
      <c r="AH106" s="321">
        <f>SUM(AH54:AH105)</f>
        <v>101114.88899999998</v>
      </c>
      <c r="AI106" s="45"/>
      <c r="AJ106" s="321">
        <f>SUM(AJ54:AJ105)</f>
        <v>102054.22199999998</v>
      </c>
      <c r="AK106" s="45"/>
      <c r="AL106" s="321">
        <f>SUM(AL54:AL105)</f>
        <v>102225.58099999999</v>
      </c>
      <c r="AM106" s="45"/>
      <c r="AN106" s="321">
        <f>SUM(AN54:AN105)</f>
        <v>102585.88100000001</v>
      </c>
      <c r="AO106" s="45"/>
      <c r="AP106" s="321">
        <f>SUM(AP54:AP105)</f>
        <v>102785.88100000001</v>
      </c>
      <c r="AQ106" s="45"/>
      <c r="AR106" s="321">
        <f>SUM(AR54:AR105)</f>
        <v>101758.88100000001</v>
      </c>
      <c r="AS106" s="45"/>
      <c r="AT106" s="321">
        <f>SUM(AT54:AT105)</f>
        <v>101957.18800000001</v>
      </c>
      <c r="AU106" s="45"/>
      <c r="AV106" s="321">
        <f>SUM(AV54:AV105)</f>
        <v>102342.041</v>
      </c>
      <c r="AW106" s="51"/>
      <c r="AX106" s="323">
        <f>SUM(AX54:AX105)</f>
        <v>124324.628</v>
      </c>
      <c r="AY106" s="194"/>
      <c r="AZ106" s="324">
        <v>98920</v>
      </c>
      <c r="BB106" s="55">
        <f>AZ106-AX106</f>
        <v>-25404.627999999997</v>
      </c>
    </row>
    <row r="107" spans="1:55" ht="15.75" thickBot="1" x14ac:dyDescent="0.3">
      <c r="A107" s="153"/>
      <c r="B107" s="154" t="s">
        <v>238</v>
      </c>
      <c r="C107" s="154"/>
      <c r="D107" s="154"/>
      <c r="E107" s="325"/>
      <c r="F107" s="326">
        <f>+F106-650</f>
        <v>63994</v>
      </c>
      <c r="G107" s="217"/>
      <c r="H107" s="327">
        <f>+H106-650</f>
        <v>64835.6</v>
      </c>
      <c r="I107" s="217"/>
      <c r="J107" s="327">
        <f>+J106-650</f>
        <v>65650.5</v>
      </c>
      <c r="K107" s="217"/>
      <c r="L107" s="327">
        <f>+L106-650</f>
        <v>66736.5</v>
      </c>
      <c r="M107" s="217"/>
      <c r="N107" s="327">
        <f>+N106-650</f>
        <v>67274.3</v>
      </c>
      <c r="O107" s="217"/>
      <c r="P107" s="327">
        <f>+P106-650</f>
        <v>86491.1</v>
      </c>
      <c r="Q107" s="217"/>
      <c r="R107" s="327">
        <f>+R106-650</f>
        <v>97270</v>
      </c>
      <c r="S107" s="107">
        <f t="shared" si="12"/>
        <v>10778.899999999994</v>
      </c>
      <c r="T107" s="157"/>
      <c r="U107" s="217"/>
      <c r="V107" s="327">
        <f>+V106-650</f>
        <v>97368</v>
      </c>
      <c r="W107" s="328"/>
      <c r="X107" s="322"/>
      <c r="Y107" s="217"/>
      <c r="Z107" s="327">
        <f>+Z106-650</f>
        <v>98768</v>
      </c>
      <c r="AA107" s="217"/>
      <c r="AB107" s="328">
        <f>+AB106-650</f>
        <v>99954.948600000003</v>
      </c>
      <c r="AC107" s="217"/>
      <c r="AD107" s="328">
        <f>+AD106-650</f>
        <v>99254.948600000003</v>
      </c>
      <c r="AE107" s="217"/>
      <c r="AF107" s="328">
        <f>+AF106-650</f>
        <v>100352.35399999999</v>
      </c>
      <c r="AG107" s="217"/>
      <c r="AH107" s="328">
        <f>+AH106-650</f>
        <v>100464.88899999998</v>
      </c>
      <c r="AI107" s="217"/>
      <c r="AJ107" s="328">
        <f>+AJ106-650</f>
        <v>101404.22199999998</v>
      </c>
      <c r="AK107" s="217"/>
      <c r="AL107" s="328">
        <f>+AL106-650</f>
        <v>101575.58099999999</v>
      </c>
      <c r="AM107" s="217"/>
      <c r="AN107" s="328">
        <f>+AN106-650</f>
        <v>101935.88100000001</v>
      </c>
      <c r="AO107" s="217"/>
      <c r="AP107" s="328">
        <f>+AP106-650</f>
        <v>102135.88100000001</v>
      </c>
      <c r="AQ107" s="217"/>
      <c r="AR107" s="328">
        <f>+AR106-650</f>
        <v>101108.88100000001</v>
      </c>
      <c r="AS107" s="217"/>
      <c r="AT107" s="328">
        <f>+AT106-650</f>
        <v>101307.18800000001</v>
      </c>
      <c r="AU107" s="217"/>
      <c r="AV107" s="328">
        <f>+AV106-650</f>
        <v>101692.041</v>
      </c>
      <c r="AW107" s="220"/>
      <c r="AX107" s="329">
        <f>+AX106-770</f>
        <v>123554.628</v>
      </c>
      <c r="AY107" s="222"/>
      <c r="AZ107" s="330">
        <v>98270</v>
      </c>
      <c r="BB107" s="55">
        <f>AZ107-AX107</f>
        <v>-25284.627999999997</v>
      </c>
    </row>
    <row r="108" spans="1:55" ht="15.75" thickBot="1" x14ac:dyDescent="0.3">
      <c r="A108" s="331"/>
      <c r="B108" s="331"/>
      <c r="C108" s="331"/>
      <c r="D108" s="331"/>
      <c r="E108" s="332"/>
      <c r="F108" s="333"/>
      <c r="G108" s="334"/>
      <c r="H108" s="335"/>
      <c r="I108" s="334"/>
      <c r="J108" s="335"/>
      <c r="K108" s="334"/>
      <c r="L108" s="335"/>
      <c r="M108" s="334"/>
      <c r="N108" s="335"/>
      <c r="O108" s="334"/>
      <c r="P108" s="335"/>
      <c r="Q108" s="334"/>
      <c r="R108" s="335"/>
      <c r="S108" s="267"/>
      <c r="U108" s="334"/>
      <c r="V108" s="335"/>
      <c r="W108" s="335"/>
      <c r="X108" s="322"/>
      <c r="Y108" s="334"/>
      <c r="Z108" s="335"/>
      <c r="AA108" s="334"/>
      <c r="AB108" s="335"/>
      <c r="AC108" s="334"/>
      <c r="AD108" s="335"/>
      <c r="AE108" s="334"/>
      <c r="AF108" s="335"/>
      <c r="AG108" s="334"/>
      <c r="AH108" s="335"/>
      <c r="AI108" s="334"/>
      <c r="AJ108" s="335"/>
      <c r="AK108" s="334"/>
      <c r="AL108" s="335"/>
      <c r="AM108" s="334"/>
      <c r="AN108" s="335"/>
      <c r="AO108" s="334"/>
      <c r="AP108" s="335"/>
      <c r="AQ108" s="334"/>
      <c r="AR108" s="335"/>
      <c r="AS108" s="334"/>
      <c r="AT108" s="335"/>
      <c r="AU108" s="334"/>
      <c r="AV108" s="335"/>
      <c r="AW108" s="336"/>
      <c r="AX108" s="337"/>
    </row>
    <row r="109" spans="1:55" ht="15.75" thickBot="1" x14ac:dyDescent="0.3">
      <c r="A109" s="338"/>
      <c r="B109" s="339" t="s">
        <v>239</v>
      </c>
      <c r="C109" s="340"/>
      <c r="D109" s="340"/>
      <c r="E109" s="341"/>
      <c r="F109" s="342">
        <f>+F42-F107</f>
        <v>15779</v>
      </c>
      <c r="G109" s="341"/>
      <c r="H109" s="342">
        <f>+H42-H107</f>
        <v>15616.600000000013</v>
      </c>
      <c r="I109" s="341"/>
      <c r="J109" s="342">
        <f>+J42-J107</f>
        <v>15216.600000000006</v>
      </c>
      <c r="K109" s="341"/>
      <c r="L109" s="342">
        <f>+L42-L107</f>
        <v>14201.600000000006</v>
      </c>
      <c r="M109" s="341"/>
      <c r="N109" s="342">
        <f>+N42-N107</f>
        <v>14201.599999999991</v>
      </c>
      <c r="O109" s="341"/>
      <c r="P109" s="342">
        <f>+P42-P107</f>
        <v>1542.1999999999971</v>
      </c>
      <c r="Q109" s="341"/>
      <c r="R109" s="342">
        <f>+R42-R107</f>
        <v>-8430</v>
      </c>
      <c r="S109" s="139">
        <f>R109-P109</f>
        <v>-9972.1999999999971</v>
      </c>
      <c r="U109" s="341"/>
      <c r="V109" s="342">
        <f>+V42-V107</f>
        <v>-8500</v>
      </c>
      <c r="W109" s="343"/>
      <c r="X109" s="192"/>
      <c r="Y109" s="343"/>
      <c r="Z109" s="342">
        <f>+Z42-Z107</f>
        <v>-8500</v>
      </c>
      <c r="AA109" s="343"/>
      <c r="AB109" s="343">
        <f>+AB42-AB107</f>
        <v>-8459</v>
      </c>
      <c r="AC109" s="343"/>
      <c r="AD109" s="343">
        <f>+AD42-AD107</f>
        <v>-7759</v>
      </c>
      <c r="AE109" s="343"/>
      <c r="AF109" s="342">
        <f>+AF42-AF107</f>
        <v>-7980.2603999999701</v>
      </c>
      <c r="AG109" s="343"/>
      <c r="AH109" s="342">
        <f>+AH42-AH107</f>
        <v>-7946.1603999999788</v>
      </c>
      <c r="AI109" s="343"/>
      <c r="AJ109" s="343">
        <f>+AJ42-AJ107</f>
        <v>-8143.4933999999776</v>
      </c>
      <c r="AK109" s="343"/>
      <c r="AL109" s="343">
        <f>+AL42-AL107</f>
        <v>-8294.8523999999888</v>
      </c>
      <c r="AM109" s="343"/>
      <c r="AN109" s="343">
        <f>+AN42-AN107</f>
        <v>-8294.8523999999888</v>
      </c>
      <c r="AO109" s="343"/>
      <c r="AP109" s="343">
        <f>+AP42-AP107</f>
        <v>-8294.8523999999888</v>
      </c>
      <c r="AQ109" s="343"/>
      <c r="AR109" s="343">
        <f>+AR42-AR107</f>
        <v>-3295.32239999999</v>
      </c>
      <c r="AS109" s="343"/>
      <c r="AT109" s="343">
        <f>+AT42-AT107</f>
        <v>-3295.32239999999</v>
      </c>
      <c r="AU109" s="343"/>
      <c r="AV109" s="343">
        <f>+AV42-AV107</f>
        <v>-3555.6803999999829</v>
      </c>
      <c r="AW109" s="344"/>
      <c r="AX109" s="344">
        <f>+AX42-AX107</f>
        <v>-11334.007999999987</v>
      </c>
    </row>
    <row r="110" spans="1:55" ht="15.75" thickBot="1" x14ac:dyDescent="0.3">
      <c r="B110" s="345" t="s">
        <v>240</v>
      </c>
      <c r="C110" s="346" t="s">
        <v>241</v>
      </c>
      <c r="D110" s="347"/>
      <c r="E110" s="348"/>
      <c r="F110" s="349">
        <f>-3125-2500-239-223</f>
        <v>-6087</v>
      </c>
      <c r="G110" s="349"/>
      <c r="H110" s="349">
        <f>-3125-2500-239-223</f>
        <v>-6087</v>
      </c>
      <c r="I110" s="349"/>
      <c r="J110" s="349">
        <f>-3125-2500-239-223</f>
        <v>-6087</v>
      </c>
      <c r="K110" s="349"/>
      <c r="L110" s="349">
        <f>-3125-2500-239-223+3125+2500-5670</f>
        <v>-6132</v>
      </c>
      <c r="M110" s="349"/>
      <c r="N110" s="349">
        <f>-3125-2500-239-223+3125+2500-5670</f>
        <v>-6132</v>
      </c>
      <c r="O110" s="349"/>
      <c r="P110" s="349">
        <f>-3125-2500-239-223+3125+2500-5670</f>
        <v>-6132</v>
      </c>
      <c r="Q110" s="350"/>
      <c r="R110" s="351">
        <f>-240-5685-100</f>
        <v>-6025</v>
      </c>
      <c r="S110" s="267"/>
      <c r="T110" s="171"/>
      <c r="U110" s="350"/>
      <c r="V110" s="351">
        <f>-240-5685-100</f>
        <v>-6025</v>
      </c>
      <c r="W110" s="352"/>
      <c r="X110" s="353"/>
      <c r="Y110" s="352"/>
      <c r="Z110" s="351">
        <f>-240-5685-100</f>
        <v>-6025</v>
      </c>
      <c r="AA110" s="352"/>
      <c r="AB110" s="352">
        <f>-240-5685-100</f>
        <v>-6025</v>
      </c>
      <c r="AC110" s="352"/>
      <c r="AD110" s="352">
        <f>-240-5685-100</f>
        <v>-6025</v>
      </c>
      <c r="AE110" s="352"/>
      <c r="AF110" s="351">
        <f>-240-5685-100</f>
        <v>-6025</v>
      </c>
      <c r="AG110" s="352"/>
      <c r="AH110" s="351">
        <f>-240-5685-100</f>
        <v>-6025</v>
      </c>
      <c r="AI110" s="352"/>
      <c r="AJ110" s="352">
        <f>-240-5685-100</f>
        <v>-6025</v>
      </c>
      <c r="AK110" s="352"/>
      <c r="AL110" s="352">
        <f>-240-5685-100</f>
        <v>-6025</v>
      </c>
      <c r="AM110" s="352"/>
      <c r="AN110" s="352">
        <f>-240-5685-100</f>
        <v>-6025</v>
      </c>
      <c r="AO110" s="352"/>
      <c r="AP110" s="352">
        <f>-240-5685-100</f>
        <v>-6025</v>
      </c>
      <c r="AQ110" s="352"/>
      <c r="AR110" s="352">
        <f>-240-5685-100</f>
        <v>-6025</v>
      </c>
      <c r="AS110" s="352"/>
      <c r="AT110" s="352">
        <f>-240-5685-100</f>
        <v>-6025</v>
      </c>
      <c r="AU110" s="352"/>
      <c r="AV110" s="352">
        <f>-240-5685-100</f>
        <v>-6025</v>
      </c>
      <c r="AW110" s="354"/>
      <c r="AX110" s="354">
        <v>-7150</v>
      </c>
    </row>
    <row r="111" spans="1:55" ht="15.75" thickBot="1" x14ac:dyDescent="0.3">
      <c r="B111" s="345"/>
      <c r="C111" s="355" t="s">
        <v>242</v>
      </c>
      <c r="D111" s="356"/>
      <c r="E111" s="357"/>
      <c r="F111" s="358"/>
      <c r="G111" s="358"/>
      <c r="H111" s="358"/>
      <c r="I111" s="358"/>
      <c r="J111" s="358"/>
      <c r="K111" s="358"/>
      <c r="L111" s="358"/>
      <c r="M111" s="358"/>
      <c r="N111" s="358"/>
      <c r="O111" s="358"/>
      <c r="P111" s="358"/>
      <c r="Q111" s="359"/>
      <c r="R111" s="360">
        <v>8000</v>
      </c>
      <c r="S111" s="267"/>
      <c r="T111" s="171"/>
      <c r="U111" s="359"/>
      <c r="V111" s="360">
        <v>8000</v>
      </c>
      <c r="W111" s="361"/>
      <c r="X111" s="353"/>
      <c r="Y111" s="361"/>
      <c r="Z111" s="360">
        <v>8000</v>
      </c>
      <c r="AA111" s="361"/>
      <c r="AB111" s="361">
        <v>8000</v>
      </c>
      <c r="AC111" s="361"/>
      <c r="AD111" s="361">
        <v>8000</v>
      </c>
      <c r="AE111" s="361"/>
      <c r="AF111" s="360">
        <v>8000</v>
      </c>
      <c r="AG111" s="361"/>
      <c r="AH111" s="360">
        <v>8000</v>
      </c>
      <c r="AI111" s="361"/>
      <c r="AJ111" s="361">
        <v>8000</v>
      </c>
      <c r="AK111" s="361"/>
      <c r="AL111" s="361">
        <v>8000</v>
      </c>
      <c r="AM111" s="361"/>
      <c r="AN111" s="361">
        <v>8000</v>
      </c>
      <c r="AO111" s="361"/>
      <c r="AP111" s="361">
        <v>8000</v>
      </c>
      <c r="AQ111" s="361"/>
      <c r="AR111" s="361">
        <v>0</v>
      </c>
      <c r="AS111" s="361"/>
      <c r="AT111" s="361">
        <v>0</v>
      </c>
      <c r="AU111" s="361"/>
      <c r="AV111" s="361">
        <v>0</v>
      </c>
      <c r="AW111" s="362"/>
      <c r="AX111" s="362">
        <v>0</v>
      </c>
    </row>
    <row r="112" spans="1:55" ht="15.75" thickBot="1" x14ac:dyDescent="0.3">
      <c r="B112" s="363"/>
      <c r="C112" s="364" t="s">
        <v>243</v>
      </c>
      <c r="D112" s="365"/>
      <c r="E112" s="366"/>
      <c r="F112" s="367">
        <f>F109+F110</f>
        <v>9692</v>
      </c>
      <c r="G112" s="368"/>
      <c r="H112" s="367">
        <f>H109+H110</f>
        <v>9529.6000000000131</v>
      </c>
      <c r="I112" s="368"/>
      <c r="J112" s="367">
        <f>J109+J110</f>
        <v>9129.6000000000058</v>
      </c>
      <c r="K112" s="368"/>
      <c r="L112" s="367">
        <f>L109+L110</f>
        <v>8069.6000000000058</v>
      </c>
      <c r="M112" s="368"/>
      <c r="N112" s="367">
        <f>N109+N110</f>
        <v>8069.5999999999913</v>
      </c>
      <c r="O112" s="368"/>
      <c r="P112" s="367">
        <f>P109+P110</f>
        <v>-4589.8000000000029</v>
      </c>
      <c r="Q112" s="368"/>
      <c r="R112" s="367">
        <f>-(R109+R110+R111)</f>
        <v>6455</v>
      </c>
      <c r="S112" s="267"/>
      <c r="U112" s="368"/>
      <c r="V112" s="367">
        <f>-(V109+V110+V111)</f>
        <v>6525</v>
      </c>
      <c r="W112" s="366"/>
      <c r="X112" s="369"/>
      <c r="Y112" s="366"/>
      <c r="Z112" s="367">
        <f>-(Z109+Z110+Z111)</f>
        <v>6525</v>
      </c>
      <c r="AA112" s="366"/>
      <c r="AB112" s="366">
        <f>-(AB109+AB110+AB111)</f>
        <v>6484</v>
      </c>
      <c r="AC112" s="366"/>
      <c r="AD112" s="366">
        <f>-(AD109+AD110+AD111)</f>
        <v>5784</v>
      </c>
      <c r="AE112" s="366"/>
      <c r="AF112" s="367">
        <f>-(AF109+AF110+AF111)</f>
        <v>6005.2603999999701</v>
      </c>
      <c r="AG112" s="366"/>
      <c r="AH112" s="367">
        <f>-(AH109+AH110+AH111)</f>
        <v>5971.1603999999788</v>
      </c>
      <c r="AI112" s="366"/>
      <c r="AJ112" s="366">
        <f>-(AJ109+AJ110+AJ111)</f>
        <v>6168.4933999999776</v>
      </c>
      <c r="AK112" s="366"/>
      <c r="AL112" s="366">
        <f>-(AL109+AL110+AL111)</f>
        <v>6319.8523999999888</v>
      </c>
      <c r="AM112" s="366"/>
      <c r="AN112" s="366">
        <f>-(AN109+AN110+AN111)</f>
        <v>6319.8523999999888</v>
      </c>
      <c r="AO112" s="366"/>
      <c r="AP112" s="366">
        <f>-(AP109+AP110+AP111)</f>
        <v>6319.8523999999888</v>
      </c>
      <c r="AQ112" s="366"/>
      <c r="AR112" s="366">
        <f>-(AR109+AR110+AR111)</f>
        <v>9320.32239999999</v>
      </c>
      <c r="AS112" s="366"/>
      <c r="AT112" s="366">
        <f>-(AT109+AT110+AT111)</f>
        <v>9320.32239999999</v>
      </c>
      <c r="AU112" s="366"/>
      <c r="AV112" s="366">
        <f>-(AV109+AV110+AV111)</f>
        <v>9580.6803999999829</v>
      </c>
      <c r="AW112" s="370"/>
      <c r="AX112" s="370">
        <f>-(AX109+AX110+AX111)</f>
        <v>18484.007999999987</v>
      </c>
    </row>
    <row r="113" spans="2:50" ht="15.75" thickBot="1" x14ac:dyDescent="0.3">
      <c r="B113" s="371" t="s">
        <v>244</v>
      </c>
      <c r="C113" s="371"/>
      <c r="D113" s="371"/>
      <c r="E113" s="372">
        <f>8858.5-1300</f>
        <v>7558.5</v>
      </c>
      <c r="F113" s="373" t="s">
        <v>245</v>
      </c>
      <c r="G113" s="372">
        <f>8858.5-1300</f>
        <v>7558.5</v>
      </c>
      <c r="H113" s="373" t="s">
        <v>245</v>
      </c>
      <c r="I113" s="372">
        <f>8858.5-1300</f>
        <v>7558.5</v>
      </c>
      <c r="J113" s="373" t="s">
        <v>245</v>
      </c>
      <c r="K113" s="372">
        <f>8858.5-1300</f>
        <v>7558.5</v>
      </c>
      <c r="L113" s="373" t="s">
        <v>245</v>
      </c>
      <c r="M113" s="372">
        <f>8858.5-1300</f>
        <v>7558.5</v>
      </c>
      <c r="N113" s="373" t="s">
        <v>245</v>
      </c>
      <c r="O113" s="372">
        <v>13336.9</v>
      </c>
      <c r="P113" s="373" t="s">
        <v>245</v>
      </c>
      <c r="Q113" s="372">
        <v>8797.1</v>
      </c>
      <c r="R113" s="373" t="s">
        <v>245</v>
      </c>
      <c r="U113" s="372">
        <v>17502.599999999999</v>
      </c>
      <c r="V113" s="373" t="s">
        <v>245</v>
      </c>
      <c r="W113" s="374"/>
      <c r="X113" s="375"/>
      <c r="Y113" s="376">
        <v>17502.599999999999</v>
      </c>
      <c r="Z113" s="373" t="s">
        <v>245</v>
      </c>
      <c r="AA113" s="376">
        <v>17502.599999999999</v>
      </c>
      <c r="AB113" s="374" t="s">
        <v>245</v>
      </c>
      <c r="AC113" s="376">
        <v>17502.599999999999</v>
      </c>
      <c r="AD113" s="374" t="s">
        <v>245</v>
      </c>
      <c r="AE113" s="376">
        <v>17502.599999999999</v>
      </c>
      <c r="AF113" s="373" t="s">
        <v>245</v>
      </c>
      <c r="AG113" s="376">
        <v>17502.599999999999</v>
      </c>
      <c r="AH113" s="373" t="s">
        <v>245</v>
      </c>
      <c r="AI113" s="376">
        <v>17502.599999999999</v>
      </c>
      <c r="AJ113" s="374" t="s">
        <v>245</v>
      </c>
      <c r="AK113" s="376">
        <v>17502.599999999999</v>
      </c>
      <c r="AL113" s="374" t="s">
        <v>245</v>
      </c>
      <c r="AM113" s="376">
        <v>17502.599999999999</v>
      </c>
      <c r="AN113" s="374" t="s">
        <v>245</v>
      </c>
      <c r="AO113" s="376">
        <v>17502.599999999999</v>
      </c>
      <c r="AP113" s="374" t="s">
        <v>245</v>
      </c>
      <c r="AQ113" s="376">
        <v>17502.599999999999</v>
      </c>
      <c r="AR113" s="374" t="s">
        <v>245</v>
      </c>
      <c r="AS113" s="376">
        <v>17502.599999999999</v>
      </c>
      <c r="AT113" s="374" t="s">
        <v>245</v>
      </c>
      <c r="AU113" s="376">
        <v>17502.599999999999</v>
      </c>
      <c r="AV113" s="374" t="s">
        <v>245</v>
      </c>
      <c r="AW113" s="377">
        <v>23600</v>
      </c>
      <c r="AX113" s="378" t="s">
        <v>245</v>
      </c>
    </row>
    <row r="114" spans="2:50" ht="15.75" thickBot="1" x14ac:dyDescent="0.3">
      <c r="B114" s="379" t="s">
        <v>246</v>
      </c>
      <c r="C114" s="380"/>
      <c r="D114" s="381"/>
      <c r="E114" s="372"/>
      <c r="F114" s="373"/>
      <c r="G114" s="372"/>
      <c r="H114" s="373"/>
      <c r="I114" s="372"/>
      <c r="J114" s="373"/>
      <c r="K114" s="372"/>
      <c r="L114" s="373"/>
      <c r="M114" s="372"/>
      <c r="N114" s="373"/>
      <c r="O114" s="372"/>
      <c r="P114" s="373"/>
      <c r="Q114" s="372">
        <v>3700</v>
      </c>
      <c r="R114" s="373" t="s">
        <v>245</v>
      </c>
      <c r="T114" t="s">
        <v>247</v>
      </c>
      <c r="U114" s="372"/>
      <c r="V114" s="373" t="s">
        <v>245</v>
      </c>
      <c r="W114" s="374"/>
      <c r="X114" s="375"/>
      <c r="Y114" s="376"/>
      <c r="Z114" s="373" t="s">
        <v>245</v>
      </c>
      <c r="AA114" s="376"/>
      <c r="AB114" s="374" t="s">
        <v>245</v>
      </c>
      <c r="AC114" s="376"/>
      <c r="AD114" s="374" t="s">
        <v>245</v>
      </c>
      <c r="AE114" s="376"/>
      <c r="AF114" s="373" t="s">
        <v>245</v>
      </c>
      <c r="AG114" s="376"/>
      <c r="AH114" s="373" t="s">
        <v>245</v>
      </c>
      <c r="AI114" s="376"/>
      <c r="AJ114" s="374" t="s">
        <v>245</v>
      </c>
      <c r="AK114" s="376"/>
      <c r="AL114" s="374" t="s">
        <v>245</v>
      </c>
      <c r="AM114" s="376"/>
      <c r="AN114" s="374" t="s">
        <v>245</v>
      </c>
      <c r="AO114" s="376"/>
      <c r="AP114" s="374" t="s">
        <v>245</v>
      </c>
      <c r="AQ114" s="376"/>
      <c r="AR114" s="374" t="s">
        <v>245</v>
      </c>
      <c r="AS114" s="376"/>
      <c r="AT114" s="374" t="s">
        <v>245</v>
      </c>
      <c r="AU114" s="376"/>
      <c r="AV114" s="374" t="s">
        <v>245</v>
      </c>
      <c r="AW114" s="377"/>
      <c r="AX114" s="378" t="s">
        <v>245</v>
      </c>
    </row>
    <row r="115" spans="2:50" ht="15.75" thickBot="1" x14ac:dyDescent="0.3">
      <c r="B115" s="382" t="s">
        <v>248</v>
      </c>
      <c r="C115" s="382"/>
      <c r="D115" s="382"/>
      <c r="E115" s="383">
        <f>F112+50</f>
        <v>9742</v>
      </c>
      <c r="F115" s="384" t="s">
        <v>245</v>
      </c>
      <c r="G115" s="383">
        <f>H112+50</f>
        <v>9579.6000000000131</v>
      </c>
      <c r="H115" s="384" t="s">
        <v>245</v>
      </c>
      <c r="I115" s="383">
        <f>J112+50</f>
        <v>9179.6000000000058</v>
      </c>
      <c r="J115" s="384" t="s">
        <v>245</v>
      </c>
      <c r="K115" s="383">
        <f>L112+50</f>
        <v>8119.6000000000058</v>
      </c>
      <c r="L115" s="384" t="s">
        <v>245</v>
      </c>
      <c r="M115" s="383">
        <f>N112+50</f>
        <v>8119.5999999999913</v>
      </c>
      <c r="N115" s="384" t="s">
        <v>245</v>
      </c>
      <c r="O115" s="383">
        <f>P112+50</f>
        <v>-4539.8000000000029</v>
      </c>
      <c r="P115" s="384" t="s">
        <v>245</v>
      </c>
      <c r="Q115" s="383">
        <f>-R112+50</f>
        <v>-6405</v>
      </c>
      <c r="R115" s="384" t="s">
        <v>245</v>
      </c>
      <c r="U115" s="383">
        <f>-V112+50</f>
        <v>-6475</v>
      </c>
      <c r="V115" s="384" t="s">
        <v>245</v>
      </c>
      <c r="W115" s="385"/>
      <c r="X115" s="386"/>
      <c r="Y115" s="387">
        <f>-Z112+50</f>
        <v>-6475</v>
      </c>
      <c r="Z115" s="384" t="s">
        <v>245</v>
      </c>
      <c r="AA115" s="387">
        <f>-AB112+50</f>
        <v>-6434</v>
      </c>
      <c r="AB115" s="385" t="s">
        <v>245</v>
      </c>
      <c r="AC115" s="387">
        <f>-AD112+50</f>
        <v>-5734</v>
      </c>
      <c r="AD115" s="385" t="s">
        <v>245</v>
      </c>
      <c r="AE115" s="387">
        <f>-AF112+50</f>
        <v>-5955.2603999999701</v>
      </c>
      <c r="AF115" s="384" t="s">
        <v>245</v>
      </c>
      <c r="AG115" s="387">
        <f>-AH112+50</f>
        <v>-5921.1603999999788</v>
      </c>
      <c r="AH115" s="384" t="s">
        <v>245</v>
      </c>
      <c r="AI115" s="387">
        <f>-AJ112+50</f>
        <v>-6118.4933999999776</v>
      </c>
      <c r="AJ115" s="385" t="s">
        <v>245</v>
      </c>
      <c r="AK115" s="387">
        <f>-AL112+50</f>
        <v>-6269.8523999999888</v>
      </c>
      <c r="AL115" s="385" t="s">
        <v>245</v>
      </c>
      <c r="AM115" s="387">
        <f>-AN112+50</f>
        <v>-6269.8523999999888</v>
      </c>
      <c r="AN115" s="385" t="s">
        <v>245</v>
      </c>
      <c r="AO115" s="387">
        <f>-AP112+50</f>
        <v>-6269.8523999999888</v>
      </c>
      <c r="AP115" s="385" t="s">
        <v>245</v>
      </c>
      <c r="AQ115" s="387">
        <f>-AR112+50</f>
        <v>-9270.32239999999</v>
      </c>
      <c r="AR115" s="385" t="s">
        <v>245</v>
      </c>
      <c r="AS115" s="387">
        <f>-AT112+50</f>
        <v>-9270.32239999999</v>
      </c>
      <c r="AT115" s="385" t="s">
        <v>245</v>
      </c>
      <c r="AU115" s="387">
        <f>-AV112+50</f>
        <v>-9530.6803999999829</v>
      </c>
      <c r="AV115" s="385" t="s">
        <v>245</v>
      </c>
      <c r="AW115" s="388">
        <f>-AX112+55</f>
        <v>-18429.007999999987</v>
      </c>
      <c r="AX115" s="389" t="s">
        <v>245</v>
      </c>
    </row>
    <row r="116" spans="2:50" ht="15.75" thickBot="1" x14ac:dyDescent="0.3">
      <c r="B116" s="390" t="s">
        <v>249</v>
      </c>
      <c r="C116" s="390"/>
      <c r="D116" s="390"/>
      <c r="E116" s="391" t="e">
        <f>+E113+E115+#REF!</f>
        <v>#REF!</v>
      </c>
      <c r="F116" s="392" t="s">
        <v>245</v>
      </c>
      <c r="G116" s="391" t="e">
        <f>+G113+G115+#REF!</f>
        <v>#REF!</v>
      </c>
      <c r="H116" s="392" t="s">
        <v>245</v>
      </c>
      <c r="I116" s="391" t="e">
        <f>+I113+I115+#REF!</f>
        <v>#REF!</v>
      </c>
      <c r="J116" s="392" t="s">
        <v>245</v>
      </c>
      <c r="K116" s="391" t="e">
        <f>+K113+K115+#REF!</f>
        <v>#REF!</v>
      </c>
      <c r="L116" s="392" t="s">
        <v>245</v>
      </c>
      <c r="M116" s="391" t="e">
        <f>+M113+M115+#REF!</f>
        <v>#REF!</v>
      </c>
      <c r="N116" s="392" t="s">
        <v>245</v>
      </c>
      <c r="O116" s="391">
        <f>+O113+O115</f>
        <v>8797.0999999999967</v>
      </c>
      <c r="P116" s="392" t="s">
        <v>245</v>
      </c>
      <c r="Q116" s="391">
        <f>+Q113+Q115+Q114</f>
        <v>6092.1</v>
      </c>
      <c r="R116" s="392" t="s">
        <v>245</v>
      </c>
      <c r="T116" t="s">
        <v>250</v>
      </c>
      <c r="U116" s="391">
        <f>+U113+U115+U114</f>
        <v>11027.599999999999</v>
      </c>
      <c r="V116" s="392" t="s">
        <v>245</v>
      </c>
      <c r="W116" s="393"/>
      <c r="X116" s="375"/>
      <c r="Y116" s="394">
        <f>+Y113+Y115+Y114</f>
        <v>11027.599999999999</v>
      </c>
      <c r="Z116" s="392" t="s">
        <v>245</v>
      </c>
      <c r="AA116" s="394">
        <f>+AA113+AA115+AA114</f>
        <v>11068.599999999999</v>
      </c>
      <c r="AB116" s="393" t="s">
        <v>245</v>
      </c>
      <c r="AC116" s="394">
        <f>+AC113+AC115+AC114</f>
        <v>11768.599999999999</v>
      </c>
      <c r="AD116" s="393" t="s">
        <v>245</v>
      </c>
      <c r="AE116" s="394">
        <f>+AE113+AE115+AE114</f>
        <v>11547.339600000028</v>
      </c>
      <c r="AF116" s="392" t="s">
        <v>245</v>
      </c>
      <c r="AG116" s="394">
        <f>+AG113+AG115+AG114</f>
        <v>11581.43960000002</v>
      </c>
      <c r="AH116" s="392" t="s">
        <v>245</v>
      </c>
      <c r="AI116" s="394">
        <f>+AI113+AI115+AI114</f>
        <v>11384.106600000021</v>
      </c>
      <c r="AJ116" s="393" t="s">
        <v>245</v>
      </c>
      <c r="AK116" s="394">
        <f>+AK113+AK115+AK114</f>
        <v>11232.74760000001</v>
      </c>
      <c r="AL116" s="393" t="s">
        <v>245</v>
      </c>
      <c r="AM116" s="394">
        <f>+AM113+AM115+AM114</f>
        <v>11232.74760000001</v>
      </c>
      <c r="AN116" s="393" t="s">
        <v>245</v>
      </c>
      <c r="AO116" s="394">
        <f>+AO113+AO115+AO114</f>
        <v>11232.74760000001</v>
      </c>
      <c r="AP116" s="393" t="s">
        <v>245</v>
      </c>
      <c r="AQ116" s="394">
        <f>+AQ113+AQ115+AQ114</f>
        <v>8232.2776000000085</v>
      </c>
      <c r="AR116" s="393" t="s">
        <v>245</v>
      </c>
      <c r="AS116" s="394">
        <f>+AS113+AS115+AS114</f>
        <v>8232.2776000000085</v>
      </c>
      <c r="AT116" s="393" t="s">
        <v>245</v>
      </c>
      <c r="AU116" s="394">
        <f>+AU113+AU115+AU114</f>
        <v>7971.9196000000156</v>
      </c>
      <c r="AV116" s="393" t="s">
        <v>245</v>
      </c>
      <c r="AW116" s="395">
        <f>+AW113+AW115+AW114</f>
        <v>5170.9920000000129</v>
      </c>
      <c r="AX116" s="396" t="s">
        <v>245</v>
      </c>
    </row>
    <row r="117" spans="2:50" ht="15.75" thickBot="1" x14ac:dyDescent="0.3">
      <c r="B117" s="371" t="s">
        <v>251</v>
      </c>
      <c r="C117" s="371"/>
      <c r="D117" s="371"/>
      <c r="E117" s="397">
        <v>348</v>
      </c>
      <c r="F117" s="398" t="s">
        <v>245</v>
      </c>
      <c r="G117" s="397">
        <v>348</v>
      </c>
      <c r="H117" s="398" t="s">
        <v>245</v>
      </c>
      <c r="I117" s="397">
        <v>348</v>
      </c>
      <c r="J117" s="398" t="s">
        <v>245</v>
      </c>
      <c r="K117" s="397">
        <v>348</v>
      </c>
      <c r="L117" s="398" t="s">
        <v>245</v>
      </c>
      <c r="M117" s="397">
        <v>348</v>
      </c>
      <c r="N117" s="398" t="s">
        <v>245</v>
      </c>
      <c r="O117" s="397">
        <v>359.7</v>
      </c>
      <c r="P117" s="398" t="s">
        <v>245</v>
      </c>
      <c r="Q117" s="397">
        <f>O119</f>
        <v>309.7</v>
      </c>
      <c r="R117" s="398" t="s">
        <v>245</v>
      </c>
      <c r="U117" s="397">
        <v>341.5</v>
      </c>
      <c r="V117" s="398" t="s">
        <v>245</v>
      </c>
      <c r="W117" s="399"/>
      <c r="X117" s="400"/>
      <c r="Y117" s="401">
        <v>341.5</v>
      </c>
      <c r="Z117" s="398" t="s">
        <v>245</v>
      </c>
      <c r="AA117" s="401">
        <v>341.5</v>
      </c>
      <c r="AB117" s="399" t="s">
        <v>245</v>
      </c>
      <c r="AC117" s="401">
        <v>341.5</v>
      </c>
      <c r="AD117" s="399" t="s">
        <v>245</v>
      </c>
      <c r="AE117" s="401">
        <v>341.5</v>
      </c>
      <c r="AF117" s="398" t="s">
        <v>245</v>
      </c>
      <c r="AG117" s="401">
        <v>341.5</v>
      </c>
      <c r="AH117" s="398" t="s">
        <v>245</v>
      </c>
      <c r="AI117" s="401">
        <v>341.5</v>
      </c>
      <c r="AJ117" s="399" t="s">
        <v>245</v>
      </c>
      <c r="AK117" s="401">
        <v>341.5</v>
      </c>
      <c r="AL117" s="399" t="s">
        <v>245</v>
      </c>
      <c r="AM117" s="401">
        <v>341.5</v>
      </c>
      <c r="AN117" s="399" t="s">
        <v>245</v>
      </c>
      <c r="AO117" s="401">
        <v>341.5</v>
      </c>
      <c r="AP117" s="399" t="s">
        <v>245</v>
      </c>
      <c r="AQ117" s="401">
        <v>341.5</v>
      </c>
      <c r="AR117" s="399" t="s">
        <v>245</v>
      </c>
      <c r="AS117" s="401">
        <v>341.5</v>
      </c>
      <c r="AT117" s="399" t="s">
        <v>245</v>
      </c>
      <c r="AU117" s="401">
        <v>341.5</v>
      </c>
      <c r="AV117" s="399" t="s">
        <v>245</v>
      </c>
      <c r="AW117" s="402">
        <v>300</v>
      </c>
      <c r="AX117" s="403" t="s">
        <v>245</v>
      </c>
    </row>
    <row r="118" spans="2:50" ht="15.75" thickBot="1" x14ac:dyDescent="0.3">
      <c r="B118" s="382" t="s">
        <v>252</v>
      </c>
      <c r="C118" s="382"/>
      <c r="D118" s="382"/>
      <c r="E118" s="383">
        <f>E40-E105</f>
        <v>-50</v>
      </c>
      <c r="F118" s="404" t="s">
        <v>245</v>
      </c>
      <c r="G118" s="383">
        <f>G40-G105</f>
        <v>-50</v>
      </c>
      <c r="H118" s="404" t="s">
        <v>245</v>
      </c>
      <c r="I118" s="383">
        <f>I40-I105</f>
        <v>-50</v>
      </c>
      <c r="J118" s="404" t="s">
        <v>245</v>
      </c>
      <c r="K118" s="383">
        <f>K40-K105</f>
        <v>-50</v>
      </c>
      <c r="L118" s="404" t="s">
        <v>245</v>
      </c>
      <c r="M118" s="383">
        <f>M40-M105</f>
        <v>-50</v>
      </c>
      <c r="N118" s="404" t="s">
        <v>245</v>
      </c>
      <c r="O118" s="383">
        <f>O40-O105</f>
        <v>-50</v>
      </c>
      <c r="P118" s="404" t="s">
        <v>245</v>
      </c>
      <c r="Q118" s="383">
        <f>Q40-Q105</f>
        <v>-50</v>
      </c>
      <c r="R118" s="404" t="s">
        <v>245</v>
      </c>
      <c r="U118" s="383">
        <f>U40-U105</f>
        <v>-50</v>
      </c>
      <c r="V118" s="404" t="s">
        <v>245</v>
      </c>
      <c r="W118" s="405"/>
      <c r="X118" s="406"/>
      <c r="Y118" s="387">
        <f>Y40-Y105</f>
        <v>-50</v>
      </c>
      <c r="Z118" s="404" t="s">
        <v>245</v>
      </c>
      <c r="AA118" s="387">
        <f>AA40-AA105</f>
        <v>-50</v>
      </c>
      <c r="AB118" s="405" t="s">
        <v>245</v>
      </c>
      <c r="AC118" s="387">
        <f>AC40-AC105</f>
        <v>-50</v>
      </c>
      <c r="AD118" s="405" t="s">
        <v>245</v>
      </c>
      <c r="AE118" s="387">
        <f>AE40-AE105</f>
        <v>-50</v>
      </c>
      <c r="AF118" s="404" t="s">
        <v>245</v>
      </c>
      <c r="AG118" s="387">
        <f>AG40-AG105</f>
        <v>-50</v>
      </c>
      <c r="AH118" s="404" t="s">
        <v>245</v>
      </c>
      <c r="AI118" s="387">
        <f>AI40-AI105</f>
        <v>-50</v>
      </c>
      <c r="AJ118" s="405" t="s">
        <v>245</v>
      </c>
      <c r="AK118" s="387">
        <f>AK40-AK105</f>
        <v>-50</v>
      </c>
      <c r="AL118" s="405" t="s">
        <v>245</v>
      </c>
      <c r="AM118" s="387">
        <f>AM40-AM105</f>
        <v>-50</v>
      </c>
      <c r="AN118" s="405" t="s">
        <v>245</v>
      </c>
      <c r="AO118" s="387">
        <f>AO40-AO105</f>
        <v>-50</v>
      </c>
      <c r="AP118" s="405" t="s">
        <v>245</v>
      </c>
      <c r="AQ118" s="387">
        <f>AQ40-AQ105</f>
        <v>-50</v>
      </c>
      <c r="AR118" s="405" t="s">
        <v>245</v>
      </c>
      <c r="AS118" s="387">
        <f>AS40-AS105</f>
        <v>-50</v>
      </c>
      <c r="AT118" s="405" t="s">
        <v>245</v>
      </c>
      <c r="AU118" s="387">
        <f>AU40-AU105</f>
        <v>-50</v>
      </c>
      <c r="AV118" s="405" t="s">
        <v>245</v>
      </c>
      <c r="AW118" s="388">
        <f>AW40-AW105</f>
        <v>-55</v>
      </c>
      <c r="AX118" s="407" t="s">
        <v>245</v>
      </c>
    </row>
    <row r="119" spans="2:50" ht="15.75" thickBot="1" x14ac:dyDescent="0.3">
      <c r="B119" s="408" t="s">
        <v>253</v>
      </c>
      <c r="C119" s="408"/>
      <c r="D119" s="408"/>
      <c r="E119" s="391">
        <f>E117+E118</f>
        <v>298</v>
      </c>
      <c r="F119" s="409" t="s">
        <v>245</v>
      </c>
      <c r="G119" s="391">
        <f>G117+G118</f>
        <v>298</v>
      </c>
      <c r="H119" s="409" t="s">
        <v>245</v>
      </c>
      <c r="I119" s="391">
        <f>I117+I118</f>
        <v>298</v>
      </c>
      <c r="J119" s="409" t="s">
        <v>245</v>
      </c>
      <c r="K119" s="391">
        <f>K117+K118</f>
        <v>298</v>
      </c>
      <c r="L119" s="409" t="s">
        <v>245</v>
      </c>
      <c r="M119" s="391">
        <f>M117+M118</f>
        <v>298</v>
      </c>
      <c r="N119" s="409" t="s">
        <v>245</v>
      </c>
      <c r="O119" s="391">
        <f>O117+O118</f>
        <v>309.7</v>
      </c>
      <c r="P119" s="409" t="s">
        <v>245</v>
      </c>
      <c r="Q119" s="391">
        <f>Q117+Q118</f>
        <v>259.7</v>
      </c>
      <c r="R119" s="409" t="s">
        <v>245</v>
      </c>
      <c r="U119" s="391">
        <f>U117+U118</f>
        <v>291.5</v>
      </c>
      <c r="V119" s="409" t="s">
        <v>245</v>
      </c>
      <c r="W119" s="410"/>
      <c r="X119" s="400"/>
      <c r="Y119" s="394">
        <f>Y117+Y118</f>
        <v>291.5</v>
      </c>
      <c r="Z119" s="409" t="s">
        <v>245</v>
      </c>
      <c r="AA119" s="394">
        <f>AA117+AA118</f>
        <v>291.5</v>
      </c>
      <c r="AB119" s="410" t="s">
        <v>245</v>
      </c>
      <c r="AC119" s="394">
        <f>AC117+AC118</f>
        <v>291.5</v>
      </c>
      <c r="AD119" s="410" t="s">
        <v>245</v>
      </c>
      <c r="AE119" s="394">
        <f>AE117+AE118</f>
        <v>291.5</v>
      </c>
      <c r="AF119" s="409" t="s">
        <v>245</v>
      </c>
      <c r="AG119" s="394">
        <f>AG117+AG118</f>
        <v>291.5</v>
      </c>
      <c r="AH119" s="409" t="s">
        <v>245</v>
      </c>
      <c r="AI119" s="394">
        <f>AI117+AI118</f>
        <v>291.5</v>
      </c>
      <c r="AJ119" s="410" t="s">
        <v>245</v>
      </c>
      <c r="AK119" s="394">
        <f>AK117+AK118</f>
        <v>291.5</v>
      </c>
      <c r="AL119" s="410" t="s">
        <v>245</v>
      </c>
      <c r="AM119" s="394">
        <f>AM117+AM118</f>
        <v>291.5</v>
      </c>
      <c r="AN119" s="410" t="s">
        <v>245</v>
      </c>
      <c r="AO119" s="394">
        <f>AO117+AO118</f>
        <v>291.5</v>
      </c>
      <c r="AP119" s="410" t="s">
        <v>245</v>
      </c>
      <c r="AQ119" s="394">
        <f>AQ117+AQ118</f>
        <v>291.5</v>
      </c>
      <c r="AR119" s="410" t="s">
        <v>245</v>
      </c>
      <c r="AS119" s="394">
        <f>AS117+AS118</f>
        <v>291.5</v>
      </c>
      <c r="AT119" s="410" t="s">
        <v>245</v>
      </c>
      <c r="AU119" s="394">
        <f>AU117+AU118</f>
        <v>291.5</v>
      </c>
      <c r="AV119" s="410" t="s">
        <v>245</v>
      </c>
      <c r="AW119" s="395">
        <f>AW117+AW118</f>
        <v>245</v>
      </c>
      <c r="AX119" s="411" t="s">
        <v>245</v>
      </c>
    </row>
    <row r="122" spans="2:50" x14ac:dyDescent="0.25">
      <c r="D122" s="171"/>
      <c r="E122" s="413"/>
      <c r="F122" s="413"/>
      <c r="G122" s="413"/>
      <c r="H122" s="413"/>
      <c r="I122" s="413"/>
      <c r="J122" s="413"/>
      <c r="K122" s="413"/>
      <c r="L122" s="413"/>
      <c r="M122" s="413"/>
      <c r="N122" s="413"/>
      <c r="O122" s="413"/>
      <c r="P122" s="413"/>
      <c r="Q122" s="413"/>
      <c r="R122" s="413"/>
      <c r="S122" s="171"/>
      <c r="T122" s="171"/>
      <c r="U122" s="413"/>
      <c r="V122" s="413"/>
      <c r="W122" s="413"/>
      <c r="X122" s="413"/>
      <c r="Y122" s="413"/>
      <c r="Z122" s="413"/>
      <c r="AA122" s="413"/>
      <c r="AB122" s="413"/>
      <c r="AC122" s="413"/>
      <c r="AD122" s="413"/>
      <c r="AE122" s="413"/>
      <c r="AF122" s="413"/>
      <c r="AG122" s="413"/>
      <c r="AH122" s="413"/>
      <c r="AI122" s="413"/>
      <c r="AJ122" s="413"/>
      <c r="AK122" s="413"/>
      <c r="AL122" s="413"/>
      <c r="AM122" s="413"/>
      <c r="AN122" s="413"/>
      <c r="AO122" s="413"/>
      <c r="AP122" s="413"/>
      <c r="AQ122" s="413"/>
      <c r="AR122" s="413"/>
      <c r="AS122" s="413"/>
      <c r="AT122" s="413"/>
      <c r="AU122" s="413"/>
      <c r="AV122" s="413"/>
      <c r="AW122" s="413"/>
      <c r="AX122" s="413"/>
    </row>
    <row r="123" spans="2:50" x14ac:dyDescent="0.25">
      <c r="D123" s="171"/>
      <c r="E123" s="413"/>
      <c r="F123" s="413"/>
      <c r="G123" s="413"/>
      <c r="H123" s="413"/>
      <c r="I123" s="413"/>
      <c r="J123" s="413"/>
      <c r="K123" s="413"/>
      <c r="L123" s="413"/>
      <c r="M123" s="413"/>
      <c r="N123" s="413"/>
      <c r="O123" s="413"/>
      <c r="P123" s="413"/>
      <c r="Q123" s="414"/>
      <c r="R123" s="414"/>
      <c r="S123" s="171"/>
      <c r="T123" s="171"/>
      <c r="U123" s="413"/>
      <c r="V123" s="413"/>
      <c r="W123" s="413"/>
      <c r="X123" s="413"/>
      <c r="Y123" s="414"/>
      <c r="Z123" s="415"/>
      <c r="AA123" s="414"/>
      <c r="AB123" s="415"/>
      <c r="AC123" s="414"/>
      <c r="AD123" s="415"/>
      <c r="AE123" s="414"/>
      <c r="AF123" s="415"/>
      <c r="AG123" s="414"/>
      <c r="AH123" s="415"/>
      <c r="AI123" s="414"/>
      <c r="AJ123" s="415"/>
      <c r="AK123" s="414"/>
      <c r="AL123" s="415"/>
      <c r="AM123" s="414"/>
      <c r="AN123" s="415"/>
      <c r="AO123" s="414"/>
      <c r="AP123" s="415"/>
      <c r="AQ123" s="414"/>
      <c r="AR123" s="415"/>
      <c r="AS123" s="414"/>
      <c r="AT123" s="415"/>
      <c r="AU123" s="414"/>
      <c r="AV123" s="415"/>
      <c r="AW123" s="414"/>
      <c r="AX123" s="415"/>
    </row>
    <row r="124" spans="2:50" x14ac:dyDescent="0.25">
      <c r="D124" s="171"/>
      <c r="E124" s="413"/>
      <c r="F124" s="413"/>
      <c r="G124" s="413"/>
      <c r="H124" s="413"/>
      <c r="I124" s="413"/>
      <c r="J124" s="413"/>
      <c r="K124" s="413"/>
      <c r="L124" s="413"/>
      <c r="M124" s="413"/>
      <c r="N124" s="413"/>
      <c r="O124" s="413"/>
      <c r="P124" s="413"/>
      <c r="Q124" s="414"/>
      <c r="R124" s="414"/>
      <c r="S124" s="171"/>
      <c r="T124" s="171"/>
      <c r="U124" s="413"/>
      <c r="V124" s="413"/>
      <c r="W124" s="413"/>
      <c r="X124" s="413"/>
      <c r="Y124" s="414"/>
      <c r="Z124" s="416"/>
      <c r="AA124" s="414"/>
      <c r="AB124" s="416"/>
      <c r="AC124" s="414"/>
      <c r="AD124" s="416"/>
      <c r="AE124" s="414"/>
      <c r="AF124" s="416"/>
      <c r="AG124" s="414"/>
      <c r="AH124" s="416"/>
      <c r="AI124" s="414"/>
      <c r="AJ124" s="416"/>
      <c r="AK124" s="414"/>
      <c r="AL124" s="416"/>
      <c r="AM124" s="414"/>
      <c r="AN124" s="415"/>
      <c r="AO124" s="414"/>
      <c r="AP124" s="415"/>
      <c r="AQ124" s="414"/>
      <c r="AR124" s="415"/>
      <c r="AS124" s="414"/>
      <c r="AT124" s="415"/>
      <c r="AU124" s="414"/>
      <c r="AV124" s="415"/>
      <c r="AW124" s="414"/>
      <c r="AX124" s="415"/>
    </row>
    <row r="125" spans="2:50" x14ac:dyDescent="0.25">
      <c r="D125" s="171"/>
      <c r="E125" s="413"/>
      <c r="F125" s="413"/>
      <c r="G125" s="413"/>
      <c r="H125" s="413"/>
      <c r="I125" s="413"/>
      <c r="J125" s="413"/>
      <c r="K125" s="413"/>
      <c r="L125" s="413"/>
      <c r="M125" s="413"/>
      <c r="N125" s="413"/>
      <c r="O125" s="413"/>
      <c r="P125" s="413"/>
      <c r="Q125" s="414"/>
      <c r="R125" s="414"/>
      <c r="S125" s="171"/>
      <c r="T125" s="171"/>
      <c r="U125" s="413"/>
      <c r="V125" s="413"/>
      <c r="W125" s="413"/>
      <c r="X125" s="413"/>
      <c r="Y125" s="414"/>
      <c r="Z125" s="415"/>
      <c r="AA125" s="414"/>
      <c r="AB125" s="415"/>
      <c r="AC125" s="414"/>
      <c r="AD125" s="415"/>
      <c r="AE125" s="414"/>
      <c r="AF125" s="415"/>
      <c r="AG125" s="414"/>
      <c r="AH125" s="415"/>
      <c r="AI125" s="414"/>
      <c r="AJ125" s="415"/>
      <c r="AK125" s="414"/>
      <c r="AL125" s="415"/>
      <c r="AM125" s="414"/>
      <c r="AN125" s="415"/>
      <c r="AO125" s="414"/>
      <c r="AP125" s="415"/>
      <c r="AQ125" s="414"/>
      <c r="AR125" s="415"/>
      <c r="AS125" s="414"/>
      <c r="AT125" s="415"/>
      <c r="AU125" s="414"/>
      <c r="AV125" s="415"/>
      <c r="AW125" s="414"/>
      <c r="AX125" s="415"/>
    </row>
    <row r="126" spans="2:50" x14ac:dyDescent="0.25">
      <c r="D126" s="171"/>
      <c r="E126" s="413"/>
      <c r="F126" s="413"/>
      <c r="G126" s="413"/>
      <c r="H126" s="413"/>
      <c r="I126" s="413"/>
      <c r="J126" s="413"/>
      <c r="K126" s="413"/>
      <c r="L126" s="413"/>
      <c r="M126" s="413"/>
      <c r="N126" s="413"/>
      <c r="O126" s="413"/>
      <c r="P126" s="413"/>
      <c r="Q126" s="413"/>
      <c r="R126" s="413"/>
      <c r="S126" s="171"/>
      <c r="T126" s="171"/>
      <c r="U126" s="413"/>
      <c r="V126" s="413"/>
      <c r="W126" s="413"/>
      <c r="X126" s="413"/>
      <c r="Y126" s="413"/>
      <c r="Z126" s="413"/>
      <c r="AA126" s="413"/>
      <c r="AB126" s="413"/>
      <c r="AC126" s="413"/>
      <c r="AD126" s="413"/>
      <c r="AE126" s="413"/>
      <c r="AF126" s="413"/>
      <c r="AG126" s="413"/>
      <c r="AH126" s="413"/>
      <c r="AI126" s="413"/>
      <c r="AJ126" s="413"/>
      <c r="AK126" s="413"/>
      <c r="AL126" s="413"/>
      <c r="AM126" s="413"/>
      <c r="AN126" s="413"/>
      <c r="AO126" s="413"/>
      <c r="AP126" s="413"/>
      <c r="AQ126" s="413"/>
      <c r="AR126" s="413"/>
      <c r="AS126" s="413"/>
      <c r="AT126" s="413"/>
      <c r="AU126" s="413"/>
      <c r="AV126" s="413"/>
      <c r="AW126" s="413"/>
      <c r="AX126" s="413"/>
    </row>
    <row r="127" spans="2:50" x14ac:dyDescent="0.25">
      <c r="D127" s="171"/>
      <c r="E127" s="413"/>
      <c r="F127" s="413"/>
      <c r="G127" s="413"/>
      <c r="H127" s="413"/>
      <c r="I127" s="413"/>
      <c r="J127" s="413"/>
      <c r="K127" s="413"/>
      <c r="L127" s="413"/>
      <c r="M127" s="413"/>
      <c r="N127" s="413"/>
      <c r="O127" s="413"/>
      <c r="P127" s="413"/>
      <c r="Q127" s="413"/>
      <c r="R127" s="413"/>
      <c r="S127" s="171"/>
      <c r="T127" s="171"/>
      <c r="U127" s="413"/>
      <c r="V127" s="413"/>
      <c r="W127" s="413"/>
      <c r="X127" s="413"/>
      <c r="Y127" s="413"/>
      <c r="Z127" s="413"/>
      <c r="AA127" s="413"/>
      <c r="AB127" s="413"/>
      <c r="AC127" s="413"/>
      <c r="AD127" s="413"/>
      <c r="AE127" s="413"/>
      <c r="AF127" s="413"/>
      <c r="AG127" s="413"/>
      <c r="AH127" s="413"/>
      <c r="AI127" s="414"/>
      <c r="AJ127" s="414"/>
      <c r="AK127" s="414"/>
      <c r="AL127" s="414"/>
      <c r="AM127" s="414"/>
      <c r="AN127" s="414"/>
      <c r="AO127" s="414"/>
      <c r="AP127" s="414"/>
      <c r="AQ127" s="414"/>
      <c r="AR127" s="414"/>
      <c r="AS127" s="414"/>
      <c r="AT127" s="414"/>
      <c r="AU127" s="414"/>
      <c r="AV127" s="414"/>
      <c r="AW127" s="414"/>
      <c r="AX127" s="414"/>
    </row>
    <row r="128" spans="2:50" x14ac:dyDescent="0.25">
      <c r="D128" s="171"/>
      <c r="E128" s="413"/>
      <c r="F128" s="413"/>
      <c r="G128" s="413"/>
      <c r="H128" s="413"/>
      <c r="I128" s="413"/>
      <c r="J128" s="413"/>
      <c r="K128" s="413"/>
      <c r="L128" s="413"/>
      <c r="M128" s="413"/>
      <c r="N128" s="413"/>
      <c r="O128" s="413"/>
      <c r="P128" s="413"/>
      <c r="Q128" s="413"/>
      <c r="R128" s="413"/>
      <c r="S128" s="171"/>
      <c r="T128" s="171"/>
      <c r="U128" s="413"/>
      <c r="V128" s="413"/>
      <c r="W128" s="413"/>
      <c r="X128" s="413"/>
      <c r="Y128" s="413"/>
      <c r="Z128" s="413"/>
      <c r="AA128" s="413"/>
      <c r="AB128" s="413"/>
      <c r="AC128" s="413"/>
      <c r="AD128" s="413"/>
      <c r="AE128" s="413"/>
      <c r="AF128" s="413"/>
      <c r="AG128" s="413"/>
      <c r="AH128" s="413"/>
      <c r="AI128" s="414"/>
      <c r="AJ128" s="413"/>
      <c r="AK128" s="414"/>
      <c r="AL128" s="413"/>
      <c r="AM128" s="414"/>
      <c r="AN128" s="413"/>
      <c r="AO128" s="414"/>
      <c r="AP128" s="413"/>
      <c r="AQ128" s="414"/>
      <c r="AR128" s="413"/>
      <c r="AS128" s="414"/>
      <c r="AT128" s="413"/>
      <c r="AU128" s="414"/>
      <c r="AV128" s="413"/>
      <c r="AW128" s="414"/>
      <c r="AX128" s="413"/>
    </row>
    <row r="129" spans="4:50" x14ac:dyDescent="0.25">
      <c r="D129" s="171"/>
      <c r="E129" s="413"/>
      <c r="F129" s="413"/>
      <c r="G129" s="413"/>
      <c r="H129" s="413"/>
      <c r="I129" s="413"/>
      <c r="J129" s="413"/>
      <c r="K129" s="413"/>
      <c r="L129" s="413"/>
      <c r="M129" s="413"/>
      <c r="N129" s="413"/>
      <c r="O129" s="413"/>
      <c r="P129" s="413"/>
      <c r="Q129" s="413"/>
      <c r="R129" s="413"/>
      <c r="S129" s="171"/>
      <c r="T129" s="171"/>
      <c r="U129" s="413"/>
      <c r="V129" s="413"/>
      <c r="W129" s="413"/>
      <c r="X129" s="413"/>
      <c r="Y129" s="413"/>
      <c r="Z129" s="413"/>
      <c r="AA129" s="413"/>
      <c r="AB129" s="413"/>
      <c r="AC129" s="413"/>
      <c r="AD129" s="413"/>
      <c r="AE129" s="413"/>
      <c r="AF129" s="413"/>
      <c r="AG129" s="413"/>
      <c r="AH129" s="413"/>
      <c r="AI129" s="413"/>
      <c r="AJ129" s="414"/>
      <c r="AK129" s="413"/>
      <c r="AL129" s="414"/>
      <c r="AM129" s="413"/>
      <c r="AN129" s="414"/>
      <c r="AO129" s="413"/>
      <c r="AP129" s="414"/>
      <c r="AQ129" s="413"/>
      <c r="AR129" s="414"/>
      <c r="AS129" s="413"/>
      <c r="AT129" s="414"/>
      <c r="AU129" s="413"/>
      <c r="AV129" s="414"/>
      <c r="AW129" s="413"/>
      <c r="AX129" s="414"/>
    </row>
    <row r="130" spans="4:50" x14ac:dyDescent="0.25">
      <c r="AJ130" s="417"/>
      <c r="AL130" s="417"/>
      <c r="AN130" s="417"/>
      <c r="AP130" s="417"/>
      <c r="AR130" s="417"/>
      <c r="AT130" s="417"/>
      <c r="AV130" s="417"/>
      <c r="AX130" s="417"/>
    </row>
    <row r="131" spans="4:50" x14ac:dyDescent="0.25">
      <c r="AJ131" s="417"/>
      <c r="AL131" s="417"/>
      <c r="AN131" s="417"/>
      <c r="AP131" s="417"/>
      <c r="AR131" s="417"/>
      <c r="AT131" s="417"/>
      <c r="AV131" s="417"/>
      <c r="AX131" s="417"/>
    </row>
    <row r="132" spans="4:50" x14ac:dyDescent="0.25">
      <c r="AJ132" s="417"/>
      <c r="AL132" s="417"/>
      <c r="AN132" s="417"/>
      <c r="AP132" s="417"/>
      <c r="AR132" s="417"/>
      <c r="AT132" s="417"/>
      <c r="AV132" s="417"/>
      <c r="AX132" s="417"/>
    </row>
    <row r="133" spans="4:50" x14ac:dyDescent="0.25">
      <c r="AJ133" s="417"/>
      <c r="AL133" s="417"/>
      <c r="AN133" s="417"/>
      <c r="AP133" s="417"/>
      <c r="AR133" s="417"/>
      <c r="AT133" s="417"/>
      <c r="AV133" s="417"/>
      <c r="AX133" s="417"/>
    </row>
    <row r="134" spans="4:50" x14ac:dyDescent="0.25">
      <c r="AJ134" s="417"/>
      <c r="AL134" s="417"/>
      <c r="AN134" s="417"/>
      <c r="AP134" s="417"/>
      <c r="AR134" s="417"/>
      <c r="AT134" s="417"/>
      <c r="AV134" s="417"/>
      <c r="AX134" s="417"/>
    </row>
    <row r="135" spans="4:50" x14ac:dyDescent="0.25">
      <c r="AJ135" s="417"/>
      <c r="AL135" s="417"/>
      <c r="AN135" s="417"/>
      <c r="AP135" s="417"/>
      <c r="AR135" s="417"/>
      <c r="AT135" s="417"/>
      <c r="AV135" s="417"/>
      <c r="AX135" s="417"/>
    </row>
    <row r="137" spans="4:50" x14ac:dyDescent="0.25"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 s="413"/>
      <c r="AK137" s="413"/>
      <c r="AM137" s="413"/>
      <c r="AO137" s="413"/>
      <c r="AQ137" s="413"/>
      <c r="AS137" s="413"/>
      <c r="AU137" s="413"/>
      <c r="AW137" s="413"/>
      <c r="AX137"/>
    </row>
    <row r="139" spans="4:50" x14ac:dyDescent="0.25"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 s="417"/>
      <c r="AK139" s="417"/>
      <c r="AM139" s="417"/>
      <c r="AO139" s="417"/>
      <c r="AQ139" s="417"/>
      <c r="AS139" s="417"/>
      <c r="AU139" s="417"/>
      <c r="AW139" s="417"/>
      <c r="AX139"/>
    </row>
  </sheetData>
  <mergeCells count="69">
    <mergeCell ref="B118:D118"/>
    <mergeCell ref="B119:D119"/>
    <mergeCell ref="B106:D106"/>
    <mergeCell ref="B107:D107"/>
    <mergeCell ref="B113:D113"/>
    <mergeCell ref="B115:D115"/>
    <mergeCell ref="B116:D116"/>
    <mergeCell ref="B117:D117"/>
    <mergeCell ref="AS43:AT43"/>
    <mergeCell ref="AU43:AV43"/>
    <mergeCell ref="AW43:AX43"/>
    <mergeCell ref="AY43:AZ43"/>
    <mergeCell ref="BA43:BB43"/>
    <mergeCell ref="B105:D105"/>
    <mergeCell ref="AG43:AH43"/>
    <mergeCell ref="AI43:AJ43"/>
    <mergeCell ref="AK43:AL43"/>
    <mergeCell ref="AM43:AN43"/>
    <mergeCell ref="AO43:AP43"/>
    <mergeCell ref="AQ43:AR43"/>
    <mergeCell ref="Q43:R43"/>
    <mergeCell ref="U43:V43"/>
    <mergeCell ref="Y43:Z43"/>
    <mergeCell ref="AA43:AB43"/>
    <mergeCell ref="AC43:AD43"/>
    <mergeCell ref="AE43:AF43"/>
    <mergeCell ref="E43:F43"/>
    <mergeCell ref="G43:H43"/>
    <mergeCell ref="I43:J43"/>
    <mergeCell ref="K43:L43"/>
    <mergeCell ref="M43:N43"/>
    <mergeCell ref="O43:P43"/>
    <mergeCell ref="T5:T6"/>
    <mergeCell ref="B32:D32"/>
    <mergeCell ref="B33:D33"/>
    <mergeCell ref="B40:D40"/>
    <mergeCell ref="B41:D41"/>
    <mergeCell ref="B42:D42"/>
    <mergeCell ref="AY1:AZ2"/>
    <mergeCell ref="BA1:BB2"/>
    <mergeCell ref="G2:H2"/>
    <mergeCell ref="I2:J2"/>
    <mergeCell ref="K2:L2"/>
    <mergeCell ref="M2:N2"/>
    <mergeCell ref="O2:P2"/>
    <mergeCell ref="AM1:AN2"/>
    <mergeCell ref="AO1:AP2"/>
    <mergeCell ref="AQ1:AR2"/>
    <mergeCell ref="AS1:AT2"/>
    <mergeCell ref="AU1:AV2"/>
    <mergeCell ref="AW1:AX2"/>
    <mergeCell ref="AA1:AB2"/>
    <mergeCell ref="AC1:AD2"/>
    <mergeCell ref="AE1:AF2"/>
    <mergeCell ref="AG1:AH2"/>
    <mergeCell ref="AI1:AJ2"/>
    <mergeCell ref="AK1:AL2"/>
    <mergeCell ref="O1:P1"/>
    <mergeCell ref="Q1:R2"/>
    <mergeCell ref="S1:S2"/>
    <mergeCell ref="T1:T2"/>
    <mergeCell ref="U1:V2"/>
    <mergeCell ref="Y1:Z2"/>
    <mergeCell ref="A1:D2"/>
    <mergeCell ref="E1:F2"/>
    <mergeCell ref="G1:H1"/>
    <mergeCell ref="I1:J1"/>
    <mergeCell ref="K1:L1"/>
    <mergeCell ref="M1:N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Bočková</dc:creator>
  <cp:lastModifiedBy>Michaela Bočková</cp:lastModifiedBy>
  <dcterms:created xsi:type="dcterms:W3CDTF">2018-09-07T13:30:23Z</dcterms:created>
  <dcterms:modified xsi:type="dcterms:W3CDTF">2018-09-07T13:35:41Z</dcterms:modified>
</cp:coreProperties>
</file>